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600" yWindow="165" windowWidth="13980" windowHeight="10575" tabRatio="976" activeTab="12"/>
  </bookViews>
  <sheets>
    <sheet name="пр.1дох.20" sheetId="1" r:id="rId1"/>
    <sheet name="Пр.1.1. дох.21-22" sheetId="12" state="hidden" r:id="rId2"/>
    <sheet name="пр.2 Рд,пр 20" sheetId="2" r:id="rId3"/>
    <sheet name="пр.3.1. рдпр 21-22" sheetId="13" state="hidden" r:id="rId4"/>
    <sheet name="Пр.3 Рд,пр, ЦС,ВР 20" sheetId="3" r:id="rId5"/>
    <sheet name="пр.4.1.рдпрцс 21-22" sheetId="14" state="hidden" r:id="rId6"/>
    <sheet name="Прил.№5 ведомств.старая" sheetId="10" state="hidden" r:id="rId7"/>
    <sheet name="прил.№6 МП старая" sheetId="11" state="hidden" r:id="rId8"/>
    <sheet name="Пр.4 ведом.20" sheetId="4" r:id="rId9"/>
    <sheet name="пр.5.1.ведом.21-22" sheetId="15" state="hidden" r:id="rId10"/>
    <sheet name="пр.5 МП 20" sheetId="5" r:id="rId11"/>
    <sheet name="пр.6.1.МП 21-22" sheetId="16" state="hidden" r:id="rId12"/>
    <sheet name="пр.6 публ. 20" sheetId="6" r:id="rId13"/>
    <sheet name="пр.8.1.публ.21-22" sheetId="17" state="hidden" r:id="rId14"/>
    <sheet name="пр.7 ист-ки 20" sheetId="7" r:id="rId15"/>
    <sheet name="пр.9.1.ист-ки 21-22 " sheetId="18" state="hidden" r:id="rId16"/>
  </sheets>
  <definedNames>
    <definedName name="_xlnm._FilterDatabase" localSheetId="0" hidden="1">пр.1дох.20!$A$1:$C$168</definedName>
    <definedName name="_xlnm._FilterDatabase" localSheetId="8" hidden="1">'Пр.4 ведом.20'!$A$121:$I$472</definedName>
    <definedName name="_xlnm.Print_Area" localSheetId="1">'Пр.1.1. дох.21-22'!$A$1:$D$150</definedName>
    <definedName name="_xlnm.Print_Area" localSheetId="0">пр.1дох.20!$A$1:$E$168</definedName>
    <definedName name="_xlnm.Print_Area" localSheetId="2">'пр.2 Рд,пр 20'!$A$1:$F$53</definedName>
    <definedName name="_xlnm.Print_Area" localSheetId="4">'Пр.3 Рд,пр, ЦС,ВР 20'!$A$1:$H$1069</definedName>
    <definedName name="_xlnm.Print_Area" localSheetId="8">'Пр.4 ведом.20'!$A$1:$I$1162</definedName>
    <definedName name="_xlnm.Print_Area" localSheetId="10">'пр.5 МП 20'!$A$1:$I$1000</definedName>
    <definedName name="_xlnm.Print_Area" localSheetId="9">'пр.5.1.ведом.21-22'!$A$1:$K$1106</definedName>
    <definedName name="_xlnm.Print_Area" localSheetId="14">'пр.7 ист-ки 20'!$A$1:$E$17</definedName>
    <definedName name="_xlnm.Print_Area" localSheetId="6">'Прил.№5 ведомств.старая'!$A$1:$H$975</definedName>
    <definedName name="_xlnm.Print_Area" localSheetId="7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G1015" i="3" l="1"/>
  <c r="G1012" i="3"/>
  <c r="F1012" i="3"/>
  <c r="F1015" i="3"/>
  <c r="G569" i="3"/>
  <c r="H1165" i="4" l="1"/>
  <c r="H1164" i="4"/>
  <c r="E74" i="1" l="1"/>
  <c r="D90" i="1"/>
  <c r="D81" i="1"/>
  <c r="D83" i="1"/>
  <c r="D21" i="1"/>
  <c r="D77" i="1"/>
  <c r="D75" i="1"/>
  <c r="D80" i="1" l="1"/>
  <c r="D17" i="7"/>
  <c r="D13" i="7"/>
  <c r="H42" i="6"/>
  <c r="H41" i="6"/>
  <c r="H40" i="6" s="1"/>
  <c r="H39" i="6" s="1"/>
  <c r="H36" i="6"/>
  <c r="H30" i="6"/>
  <c r="H29" i="6" s="1"/>
  <c r="H24" i="6"/>
  <c r="H23" i="6" s="1"/>
  <c r="H22" i="6" s="1"/>
  <c r="H18" i="6"/>
  <c r="I739" i="5"/>
  <c r="I1002" i="5"/>
  <c r="H1002" i="5"/>
  <c r="H990" i="5"/>
  <c r="H989" i="5" s="1"/>
  <c r="H982" i="5"/>
  <c r="H981" i="5" s="1"/>
  <c r="H974" i="5"/>
  <c r="H973" i="5" s="1"/>
  <c r="H966" i="5"/>
  <c r="H965" i="5" s="1"/>
  <c r="H958" i="5"/>
  <c r="H959" i="5" s="1"/>
  <c r="H951" i="5"/>
  <c r="H950" i="5" s="1"/>
  <c r="H945" i="5"/>
  <c r="H939" i="5"/>
  <c r="H933" i="5"/>
  <c r="H929" i="5"/>
  <c r="H924" i="5"/>
  <c r="H925" i="5" s="1"/>
  <c r="H919" i="5"/>
  <c r="H912" i="5"/>
  <c r="H911" i="5" s="1"/>
  <c r="H908" i="5"/>
  <c r="H909" i="5" s="1"/>
  <c r="H900" i="5"/>
  <c r="H901" i="5" s="1"/>
  <c r="H896" i="5"/>
  <c r="H892" i="5"/>
  <c r="H891" i="5" s="1"/>
  <c r="H888" i="5"/>
  <c r="H889" i="5" s="1"/>
  <c r="H884" i="5"/>
  <c r="H885" i="5" s="1"/>
  <c r="H880" i="5"/>
  <c r="H876" i="5"/>
  <c r="H875" i="5" s="1"/>
  <c r="H873" i="5"/>
  <c r="H804" i="5"/>
  <c r="H803" i="5" s="1"/>
  <c r="H785" i="5"/>
  <c r="H774" i="5"/>
  <c r="H770" i="5"/>
  <c r="H769" i="5" s="1"/>
  <c r="H762" i="5"/>
  <c r="H763" i="5" s="1"/>
  <c r="H752" i="5"/>
  <c r="H751" i="5" s="1"/>
  <c r="H748" i="5"/>
  <c r="H740" i="5"/>
  <c r="H738" i="5"/>
  <c r="H733" i="5"/>
  <c r="H734" i="5" s="1"/>
  <c r="H727" i="5"/>
  <c r="H722" i="5"/>
  <c r="H723" i="5" s="1"/>
  <c r="H717" i="5"/>
  <c r="H716" i="5" s="1"/>
  <c r="H708" i="5"/>
  <c r="H704" i="5"/>
  <c r="H703" i="5" s="1"/>
  <c r="H700" i="5"/>
  <c r="H696" i="5"/>
  <c r="H689" i="5"/>
  <c r="H690" i="5" s="1"/>
  <c r="H679" i="5"/>
  <c r="H672" i="5"/>
  <c r="H671" i="5" s="1"/>
  <c r="H665" i="5"/>
  <c r="H662" i="5"/>
  <c r="H663" i="5" s="1"/>
  <c r="H659" i="5"/>
  <c r="H651" i="5"/>
  <c r="H647" i="5"/>
  <c r="H643" i="5"/>
  <c r="H636" i="5"/>
  <c r="H637" i="5" s="1"/>
  <c r="H632" i="5"/>
  <c r="H625" i="5"/>
  <c r="H626" i="5" s="1"/>
  <c r="H618" i="5"/>
  <c r="H611" i="5"/>
  <c r="H608" i="5"/>
  <c r="H607" i="5" s="1"/>
  <c r="H605" i="5"/>
  <c r="H597" i="5"/>
  <c r="H562" i="5"/>
  <c r="H559" i="5"/>
  <c r="H556" i="5"/>
  <c r="H547" i="5"/>
  <c r="H544" i="5"/>
  <c r="H536" i="5"/>
  <c r="H535" i="5" s="1"/>
  <c r="H532" i="5"/>
  <c r="H525" i="5"/>
  <c r="H518" i="5"/>
  <c r="H511" i="5"/>
  <c r="H507" i="5"/>
  <c r="H500" i="5"/>
  <c r="H501" i="5" s="1"/>
  <c r="H496" i="5"/>
  <c r="H495" i="5" s="1"/>
  <c r="H492" i="5"/>
  <c r="H493" i="5" s="1"/>
  <c r="H485" i="5"/>
  <c r="H481" i="5"/>
  <c r="H477" i="5"/>
  <c r="H468" i="5"/>
  <c r="H469" i="5" s="1"/>
  <c r="H406" i="5"/>
  <c r="H407" i="5" s="1"/>
  <c r="H398" i="5"/>
  <c r="H399" i="5" s="1"/>
  <c r="H390" i="5"/>
  <c r="H386" i="5"/>
  <c r="H380" i="5"/>
  <c r="H368" i="5"/>
  <c r="H369" i="5" s="1"/>
  <c r="H364" i="5"/>
  <c r="H363" i="5" s="1"/>
  <c r="H346" i="5"/>
  <c r="H347" i="5" s="1"/>
  <c r="H342" i="5"/>
  <c r="H341" i="5" s="1"/>
  <c r="H335" i="5"/>
  <c r="H331" i="5"/>
  <c r="H327" i="5"/>
  <c r="H323" i="5"/>
  <c r="H315" i="5"/>
  <c r="H311" i="5"/>
  <c r="H300" i="5"/>
  <c r="H299" i="5" s="1"/>
  <c r="H298" i="5" s="1"/>
  <c r="H293" i="5"/>
  <c r="H289" i="5"/>
  <c r="H290" i="5" s="1"/>
  <c r="H285" i="5"/>
  <c r="H278" i="5"/>
  <c r="H279" i="5" s="1"/>
  <c r="H274" i="5"/>
  <c r="H273" i="5" s="1"/>
  <c r="H272" i="5" s="1"/>
  <c r="H270" i="5"/>
  <c r="H271" i="5" s="1"/>
  <c r="H258" i="5"/>
  <c r="H254" i="5"/>
  <c r="H253" i="5" s="1"/>
  <c r="H250" i="5"/>
  <c r="H249" i="5" s="1"/>
  <c r="H248" i="5" s="1"/>
  <c r="H225" i="5"/>
  <c r="H224" i="5" s="1"/>
  <c r="H221" i="5"/>
  <c r="H200" i="5"/>
  <c r="H199" i="5" s="1"/>
  <c r="H150" i="5"/>
  <c r="H149" i="5" s="1"/>
  <c r="H109" i="5"/>
  <c r="H101" i="5"/>
  <c r="H94" i="5"/>
  <c r="H93" i="5" s="1"/>
  <c r="H75" i="5"/>
  <c r="H67" i="5"/>
  <c r="H29" i="5"/>
  <c r="H26" i="5"/>
  <c r="H27" i="5" s="1"/>
  <c r="H24" i="5"/>
  <c r="H17" i="5"/>
  <c r="H18" i="5" s="1"/>
  <c r="H907" i="5" l="1"/>
  <c r="H732" i="5"/>
  <c r="H269" i="5"/>
  <c r="H957" i="5"/>
  <c r="H661" i="5"/>
  <c r="H887" i="5"/>
  <c r="H886" i="5" s="1"/>
  <c r="H753" i="5"/>
  <c r="H609" i="5"/>
  <c r="H467" i="5"/>
  <c r="H466" i="5" s="1"/>
  <c r="H16" i="5"/>
  <c r="H15" i="5" s="1"/>
  <c r="H491" i="5"/>
  <c r="H490" i="5" s="1"/>
  <c r="H499" i="5"/>
  <c r="H498" i="5" s="1"/>
  <c r="H635" i="5"/>
  <c r="H634" i="5" s="1"/>
  <c r="H761" i="5"/>
  <c r="H883" i="5"/>
  <c r="H882" i="5" s="1"/>
  <c r="H899" i="5"/>
  <c r="H923" i="5"/>
  <c r="H28" i="5"/>
  <c r="H252" i="5"/>
  <c r="H749" i="5"/>
  <c r="H747" i="5"/>
  <c r="H890" i="5"/>
  <c r="H910" i="5"/>
  <c r="H108" i="5"/>
  <c r="H255" i="5"/>
  <c r="H294" i="5"/>
  <c r="H340" i="5"/>
  <c r="H660" i="5"/>
  <c r="H23" i="5"/>
  <c r="H148" i="5"/>
  <c r="H223" i="5"/>
  <c r="H259" i="5"/>
  <c r="H257" i="5"/>
  <c r="H328" i="5"/>
  <c r="H343" i="5"/>
  <c r="H365" i="5"/>
  <c r="H385" i="5"/>
  <c r="H517" i="5"/>
  <c r="H519" i="5"/>
  <c r="H596" i="5"/>
  <c r="H631" i="5"/>
  <c r="H633" i="5"/>
  <c r="H728" i="5"/>
  <c r="H726" i="5"/>
  <c r="H786" i="5"/>
  <c r="H881" i="5"/>
  <c r="H879" i="5"/>
  <c r="H895" i="5"/>
  <c r="H897" i="5"/>
  <c r="H949" i="5"/>
  <c r="H952" i="5" s="1"/>
  <c r="H100" i="5"/>
  <c r="H531" i="5"/>
  <c r="H619" i="5"/>
  <c r="H617" i="5"/>
  <c r="H802" i="5"/>
  <c r="H30" i="5"/>
  <c r="H198" i="5"/>
  <c r="H277" i="5"/>
  <c r="H324" i="5"/>
  <c r="H362" i="5"/>
  <c r="H557" i="5"/>
  <c r="H555" i="5"/>
  <c r="H670" i="5"/>
  <c r="H669" i="5" s="1"/>
  <c r="H773" i="5"/>
  <c r="H775" i="5"/>
  <c r="H964" i="5"/>
  <c r="H151" i="5"/>
  <c r="H345" i="5"/>
  <c r="H367" i="5"/>
  <c r="H389" i="5"/>
  <c r="H465" i="5"/>
  <c r="H480" i="5"/>
  <c r="H494" i="5"/>
  <c r="H543" i="5"/>
  <c r="H545" i="5"/>
  <c r="H561" i="5"/>
  <c r="H563" i="5"/>
  <c r="H701" i="5"/>
  <c r="H715" i="5"/>
  <c r="H768" i="5"/>
  <c r="H972" i="5"/>
  <c r="H497" i="5"/>
  <c r="H612" i="5"/>
  <c r="H642" i="5"/>
  <c r="H737" i="5"/>
  <c r="H760" i="5"/>
  <c r="H906" i="5"/>
  <c r="H66" i="5"/>
  <c r="H92" i="5"/>
  <c r="H74" i="5"/>
  <c r="H220" i="5"/>
  <c r="H301" i="5"/>
  <c r="H314" i="5"/>
  <c r="H336" i="5"/>
  <c r="H379" i="5"/>
  <c r="H478" i="5"/>
  <c r="H652" i="5"/>
  <c r="H666" i="5"/>
  <c r="H680" i="5"/>
  <c r="H695" i="5"/>
  <c r="H709" i="5"/>
  <c r="H980" i="5"/>
  <c r="H17" i="6"/>
  <c r="H484" i="5"/>
  <c r="H508" i="5"/>
  <c r="H534" i="5"/>
  <c r="H606" i="5"/>
  <c r="H702" i="5"/>
  <c r="H922" i="5"/>
  <c r="H956" i="5"/>
  <c r="H988" i="5"/>
  <c r="H251" i="5"/>
  <c r="H268" i="5"/>
  <c r="H275" i="5"/>
  <c r="H286" i="5"/>
  <c r="H310" i="5"/>
  <c r="H332" i="5"/>
  <c r="H512" i="5"/>
  <c r="H524" i="5"/>
  <c r="H548" i="5"/>
  <c r="H560" i="5"/>
  <c r="H648" i="5"/>
  <c r="H673" i="5"/>
  <c r="H705" i="5"/>
  <c r="H731" i="5"/>
  <c r="H771" i="5"/>
  <c r="H805" i="5"/>
  <c r="H877" i="5"/>
  <c r="H893" i="5"/>
  <c r="H898" i="5"/>
  <c r="H913" i="5"/>
  <c r="H28" i="6"/>
  <c r="H38" i="6"/>
  <c r="H35" i="6"/>
  <c r="H21" i="6"/>
  <c r="D15" i="7"/>
  <c r="D12" i="7" s="1"/>
  <c r="H12" i="5"/>
  <c r="H14" i="5"/>
  <c r="H13" i="5" s="1"/>
  <c r="H25" i="5"/>
  <c r="H284" i="5"/>
  <c r="H288" i="5"/>
  <c r="H292" i="5"/>
  <c r="H322" i="5"/>
  <c r="H326" i="5"/>
  <c r="H330" i="5"/>
  <c r="H334" i="5"/>
  <c r="H930" i="5"/>
  <c r="H928" i="5"/>
  <c r="H948" i="5"/>
  <c r="H397" i="5"/>
  <c r="H405" i="5"/>
  <c r="H476" i="5"/>
  <c r="H506" i="5"/>
  <c r="H510" i="5"/>
  <c r="H546" i="5"/>
  <c r="H558" i="5"/>
  <c r="H604" i="5"/>
  <c r="H610" i="5"/>
  <c r="H624" i="5"/>
  <c r="H646" i="5"/>
  <c r="H650" i="5"/>
  <c r="H658" i="5"/>
  <c r="H664" i="5"/>
  <c r="H678" i="5"/>
  <c r="H688" i="5"/>
  <c r="H874" i="5"/>
  <c r="H872" i="5"/>
  <c r="H920" i="5"/>
  <c r="H918" i="5"/>
  <c r="H699" i="5"/>
  <c r="H707" i="5"/>
  <c r="H721" i="5"/>
  <c r="H784" i="5"/>
  <c r="H934" i="5"/>
  <c r="H932" i="5"/>
  <c r="H940" i="5"/>
  <c r="H938" i="5"/>
  <c r="H946" i="5"/>
  <c r="H944" i="5"/>
  <c r="H830" i="4"/>
  <c r="H829" i="4" s="1"/>
  <c r="H825" i="4" s="1"/>
  <c r="H882" i="4"/>
  <c r="H880" i="4"/>
  <c r="H874" i="4"/>
  <c r="H873" i="4" s="1"/>
  <c r="H871" i="4"/>
  <c r="H869" i="4"/>
  <c r="H867" i="4"/>
  <c r="H862" i="4"/>
  <c r="H861" i="4"/>
  <c r="H859" i="4"/>
  <c r="H858" i="4" s="1"/>
  <c r="H853" i="4"/>
  <c r="H852" i="4" s="1"/>
  <c r="H851" i="4" s="1"/>
  <c r="H850" i="4" s="1"/>
  <c r="H848" i="4"/>
  <c r="H847" i="4" s="1"/>
  <c r="H845" i="4"/>
  <c r="H844" i="4" s="1"/>
  <c r="H841" i="4"/>
  <c r="H840" i="4" s="1"/>
  <c r="H839" i="4" s="1"/>
  <c r="H837" i="4"/>
  <c r="H836" i="4"/>
  <c r="H834" i="4"/>
  <c r="H833" i="4" s="1"/>
  <c r="H827" i="4"/>
  <c r="H826" i="4" s="1"/>
  <c r="H823" i="4"/>
  <c r="H822" i="4" s="1"/>
  <c r="H820" i="4"/>
  <c r="H819" i="4" s="1"/>
  <c r="H817" i="4"/>
  <c r="H816" i="4" s="1"/>
  <c r="H813" i="4"/>
  <c r="H812" i="4" s="1"/>
  <c r="H810" i="4"/>
  <c r="H809" i="4" s="1"/>
  <c r="H807" i="4"/>
  <c r="H806" i="4" s="1"/>
  <c r="H801" i="4"/>
  <c r="H800" i="4"/>
  <c r="H799" i="4" s="1"/>
  <c r="H795" i="4"/>
  <c r="H794" i="4" s="1"/>
  <c r="H793" i="4" s="1"/>
  <c r="H792" i="4" s="1"/>
  <c r="H791" i="4" s="1"/>
  <c r="H790" i="4" s="1"/>
  <c r="H787" i="4"/>
  <c r="H786" i="4" s="1"/>
  <c r="H784" i="4"/>
  <c r="H782" i="4"/>
  <c r="H780" i="4"/>
  <c r="H776" i="4"/>
  <c r="H775" i="4" s="1"/>
  <c r="H774" i="4" s="1"/>
  <c r="H771" i="4"/>
  <c r="H770" i="4" s="1"/>
  <c r="H768" i="4"/>
  <c r="H766" i="4"/>
  <c r="H760" i="4"/>
  <c r="H759" i="4" s="1"/>
  <c r="H757" i="4"/>
  <c r="H756" i="4" s="1"/>
  <c r="H750" i="4"/>
  <c r="H749" i="4" s="1"/>
  <c r="H745" i="4"/>
  <c r="H744" i="4" s="1"/>
  <c r="H743" i="4" s="1"/>
  <c r="H741" i="4"/>
  <c r="H740" i="4" s="1"/>
  <c r="H739" i="4" s="1"/>
  <c r="H736" i="4"/>
  <c r="H733" i="4"/>
  <c r="H732" i="4" s="1"/>
  <c r="H730" i="4"/>
  <c r="H729" i="4" s="1"/>
  <c r="H727" i="4"/>
  <c r="H726" i="4" s="1"/>
  <c r="H723" i="4"/>
  <c r="H722" i="4" s="1"/>
  <c r="H716" i="4"/>
  <c r="H715" i="4" s="1"/>
  <c r="H714" i="4" s="1"/>
  <c r="H713" i="4" s="1"/>
  <c r="H711" i="4"/>
  <c r="H710" i="4" s="1"/>
  <c r="H709" i="4" s="1"/>
  <c r="H708" i="4"/>
  <c r="H706" i="4"/>
  <c r="H705" i="4" s="1"/>
  <c r="H703" i="4"/>
  <c r="H702" i="4" s="1"/>
  <c r="H699" i="4"/>
  <c r="H698" i="4" s="1"/>
  <c r="H696" i="4"/>
  <c r="H695" i="4" s="1"/>
  <c r="H692" i="4"/>
  <c r="H691" i="4" s="1"/>
  <c r="H689" i="4"/>
  <c r="H688" i="4"/>
  <c r="H685" i="4"/>
  <c r="H684" i="4" s="1"/>
  <c r="H682" i="4"/>
  <c r="H681" i="4" s="1"/>
  <c r="H678" i="4"/>
  <c r="H677" i="4" s="1"/>
  <c r="H675" i="4"/>
  <c r="H674" i="4" s="1"/>
  <c r="H671" i="4"/>
  <c r="H670" i="4" s="1"/>
  <c r="H668" i="4"/>
  <c r="H667" i="4" s="1"/>
  <c r="H665" i="4"/>
  <c r="H664" i="4" s="1"/>
  <c r="H662" i="4"/>
  <c r="H661" i="4" s="1"/>
  <c r="H657" i="4"/>
  <c r="H656" i="4" s="1"/>
  <c r="H654" i="4"/>
  <c r="H653" i="4" s="1"/>
  <c r="H651" i="4"/>
  <c r="H650" i="4" s="1"/>
  <c r="H648" i="4"/>
  <c r="H647" i="4" s="1"/>
  <c r="H645" i="4"/>
  <c r="H644" i="4" s="1"/>
  <c r="H642" i="4"/>
  <c r="H641" i="4" s="1"/>
  <c r="H639" i="4"/>
  <c r="H638" i="4" s="1"/>
  <c r="H635" i="4"/>
  <c r="H634" i="4" s="1"/>
  <c r="H632" i="4"/>
  <c r="H631" i="4" s="1"/>
  <c r="H629" i="4"/>
  <c r="H628" i="4" s="1"/>
  <c r="H622" i="4"/>
  <c r="H621" i="4" s="1"/>
  <c r="H620" i="4" s="1"/>
  <c r="H617" i="4"/>
  <c r="H616" i="4"/>
  <c r="H615" i="4" s="1"/>
  <c r="H614" i="4" s="1"/>
  <c r="H612" i="4"/>
  <c r="H611" i="4" s="1"/>
  <c r="H609" i="4"/>
  <c r="H608" i="4" s="1"/>
  <c r="H605" i="4"/>
  <c r="H604" i="4"/>
  <c r="H602" i="4"/>
  <c r="H601" i="4" s="1"/>
  <c r="H598" i="4"/>
  <c r="H597" i="4" s="1"/>
  <c r="H595" i="4"/>
  <c r="H594" i="4" s="1"/>
  <c r="H592" i="4"/>
  <c r="H591" i="4" s="1"/>
  <c r="H588" i="4"/>
  <c r="H587" i="4" s="1"/>
  <c r="H585" i="4"/>
  <c r="H584" i="4"/>
  <c r="H582" i="4"/>
  <c r="H581" i="4" s="1"/>
  <c r="H577" i="4"/>
  <c r="H576" i="4" s="1"/>
  <c r="H574" i="4"/>
  <c r="H573" i="4" s="1"/>
  <c r="H571" i="4"/>
  <c r="H570" i="4" s="1"/>
  <c r="H568" i="4"/>
  <c r="H567" i="4" s="1"/>
  <c r="H565" i="4"/>
  <c r="H564" i="4" s="1"/>
  <c r="H561" i="4"/>
  <c r="H560" i="4" s="1"/>
  <c r="H558" i="4"/>
  <c r="H557" i="4" s="1"/>
  <c r="H550" i="4"/>
  <c r="H549" i="4" s="1"/>
  <c r="H547" i="4"/>
  <c r="H546" i="4" s="1"/>
  <c r="H545" i="4" s="1"/>
  <c r="H544" i="4" s="1"/>
  <c r="H543" i="4" s="1"/>
  <c r="H542" i="4" s="1"/>
  <c r="H539" i="4"/>
  <c r="H538" i="4" s="1"/>
  <c r="H537" i="4" s="1"/>
  <c r="H536" i="4" s="1"/>
  <c r="H535" i="4" s="1"/>
  <c r="H533" i="4"/>
  <c r="H532" i="4" s="1"/>
  <c r="H530" i="4"/>
  <c r="H529" i="4" s="1"/>
  <c r="H523" i="4"/>
  <c r="H522" i="4" s="1"/>
  <c r="H521" i="4" s="1"/>
  <c r="H520" i="4" s="1"/>
  <c r="H519" i="4"/>
  <c r="H518" i="4" s="1"/>
  <c r="H517" i="4" s="1"/>
  <c r="H515" i="4"/>
  <c r="H514" i="4" s="1"/>
  <c r="H513" i="4" s="1"/>
  <c r="H512" i="4" s="1"/>
  <c r="H509" i="4"/>
  <c r="H508" i="4" s="1"/>
  <c r="H507" i="4" s="1"/>
  <c r="H505" i="4"/>
  <c r="H504" i="4" s="1"/>
  <c r="H502" i="4"/>
  <c r="H500" i="4"/>
  <c r="H498" i="4"/>
  <c r="H490" i="4"/>
  <c r="H489" i="4" s="1"/>
  <c r="H485" i="4"/>
  <c r="H484" i="4" s="1"/>
  <c r="H482" i="4"/>
  <c r="H480" i="4"/>
  <c r="H478" i="4"/>
  <c r="H471" i="4"/>
  <c r="H470" i="4" s="1"/>
  <c r="H469" i="4" s="1"/>
  <c r="H468" i="4" s="1"/>
  <c r="H466" i="4"/>
  <c r="H464" i="4"/>
  <c r="H463" i="4" s="1"/>
  <c r="H460" i="4"/>
  <c r="H459" i="4" s="1"/>
  <c r="H458" i="4" s="1"/>
  <c r="H455" i="4"/>
  <c r="H454" i="4" s="1"/>
  <c r="H452" i="4" s="1"/>
  <c r="H450" i="4"/>
  <c r="H449" i="4" s="1"/>
  <c r="H448" i="4" s="1"/>
  <c r="H447" i="4" s="1"/>
  <c r="H442" i="4"/>
  <c r="H441" i="4" s="1"/>
  <c r="H440" i="4" s="1"/>
  <c r="H439" i="4" s="1"/>
  <c r="H438" i="4" s="1"/>
  <c r="H436" i="4"/>
  <c r="H435" i="4" s="1"/>
  <c r="H433" i="4"/>
  <c r="H431" i="4"/>
  <c r="H429" i="4"/>
  <c r="H424" i="4"/>
  <c r="H423" i="4" s="1"/>
  <c r="H421" i="4"/>
  <c r="H419" i="4"/>
  <c r="H413" i="4"/>
  <c r="H412" i="4" s="1"/>
  <c r="H411" i="4" s="1"/>
  <c r="H410" i="4" s="1"/>
  <c r="H408" i="4"/>
  <c r="H407" i="4" s="1"/>
  <c r="H405" i="4" s="1"/>
  <c r="H406" i="4"/>
  <c r="H403" i="4"/>
  <c r="H402" i="4" s="1"/>
  <c r="H400" i="4"/>
  <c r="H399" i="4" s="1"/>
  <c r="H397" i="4"/>
  <c r="H396" i="4" s="1"/>
  <c r="H393" i="4"/>
  <c r="H392" i="4" s="1"/>
  <c r="H390" i="4"/>
  <c r="H389" i="4" s="1"/>
  <c r="H386" i="4"/>
  <c r="H385" i="4" s="1"/>
  <c r="H384" i="4" s="1"/>
  <c r="H382" i="4"/>
  <c r="H381" i="4" s="1"/>
  <c r="H380" i="4" s="1"/>
  <c r="H378" i="4"/>
  <c r="H376" i="4"/>
  <c r="H374" i="4"/>
  <c r="H369" i="4"/>
  <c r="H368" i="4" s="1"/>
  <c r="H367" i="4" s="1"/>
  <c r="H365" i="4"/>
  <c r="H364" i="4" s="1"/>
  <c r="H362" i="4"/>
  <c r="H361" i="4" s="1"/>
  <c r="H358" i="4"/>
  <c r="H357" i="4" s="1"/>
  <c r="H356" i="4" s="1"/>
  <c r="H354" i="4"/>
  <c r="H352" i="4"/>
  <c r="H348" i="4"/>
  <c r="H346" i="4"/>
  <c r="H344" i="4"/>
  <c r="H336" i="4"/>
  <c r="H335" i="4" s="1"/>
  <c r="H334" i="4" s="1"/>
  <c r="H332" i="4"/>
  <c r="H330" i="4"/>
  <c r="H326" i="4"/>
  <c r="H325" i="4"/>
  <c r="H323" i="4"/>
  <c r="H322" i="4" s="1"/>
  <c r="H316" i="4"/>
  <c r="H315" i="4" s="1"/>
  <c r="H313" i="4" s="1"/>
  <c r="H311" i="4"/>
  <c r="H310" i="4" s="1"/>
  <c r="H308" i="4"/>
  <c r="H307" i="4" s="1"/>
  <c r="H305" i="4"/>
  <c r="H304" i="4" s="1"/>
  <c r="H302" i="4"/>
  <c r="H301" i="4" s="1"/>
  <c r="H298" i="4"/>
  <c r="H297" i="4" s="1"/>
  <c r="H296" i="4" s="1"/>
  <c r="H295" i="4"/>
  <c r="H292" i="4"/>
  <c r="H288" i="4"/>
  <c r="H287" i="4" s="1"/>
  <c r="H286" i="4" s="1"/>
  <c r="H284" i="4"/>
  <c r="H282" i="4"/>
  <c r="H280" i="4"/>
  <c r="H272" i="4"/>
  <c r="H271" i="4" s="1"/>
  <c r="H270" i="4" s="1"/>
  <c r="H268" i="4"/>
  <c r="H267" i="4" s="1"/>
  <c r="H265" i="4"/>
  <c r="H264" i="4" s="1"/>
  <c r="H261" i="4"/>
  <c r="H260" i="4" s="1"/>
  <c r="H258" i="4"/>
  <c r="H257" i="4" s="1"/>
  <c r="H254" i="4"/>
  <c r="H253" i="4" s="1"/>
  <c r="H251" i="4"/>
  <c r="H250" i="4" s="1"/>
  <c r="H243" i="4"/>
  <c r="H242" i="4" s="1"/>
  <c r="H240" i="4" s="1"/>
  <c r="H238" i="4"/>
  <c r="H237" i="4" s="1"/>
  <c r="H235" i="4"/>
  <c r="H234" i="4" s="1"/>
  <c r="H232" i="4"/>
  <c r="H231" i="4" s="1"/>
  <c r="H229" i="4"/>
  <c r="H228" i="4" s="1"/>
  <c r="H226" i="4"/>
  <c r="H225" i="4" s="1"/>
  <c r="H221" i="4"/>
  <c r="H220" i="4" s="1"/>
  <c r="H218" i="4"/>
  <c r="H217" i="4" s="1"/>
  <c r="H209" i="4"/>
  <c r="H207" i="4"/>
  <c r="H201" i="4"/>
  <c r="H200" i="4" s="1"/>
  <c r="H198" i="4" s="1"/>
  <c r="H197" i="4" s="1"/>
  <c r="H195" i="4"/>
  <c r="H194" i="4" s="1"/>
  <c r="H193" i="4" s="1"/>
  <c r="H192" i="4" s="1"/>
  <c r="H191" i="4" s="1"/>
  <c r="H188" i="4"/>
  <c r="H187" i="4" s="1"/>
  <c r="H185" i="4"/>
  <c r="H184" i="4" s="1"/>
  <c r="H180" i="4"/>
  <c r="H178" i="4"/>
  <c r="H172" i="4"/>
  <c r="H171" i="4" s="1"/>
  <c r="H170" i="4" s="1"/>
  <c r="H168" i="4"/>
  <c r="H167" i="4"/>
  <c r="H165" i="4"/>
  <c r="H164" i="4" s="1"/>
  <c r="H158" i="4"/>
  <c r="H157" i="4" s="1"/>
  <c r="H155" i="4"/>
  <c r="H153" i="4"/>
  <c r="H149" i="4"/>
  <c r="H148" i="4" s="1"/>
  <c r="H146" i="4"/>
  <c r="H145" i="4" s="1"/>
  <c r="H139" i="4"/>
  <c r="H138" i="4" s="1"/>
  <c r="H137" i="4" s="1"/>
  <c r="H136" i="4" s="1"/>
  <c r="H135" i="4" s="1"/>
  <c r="H134" i="4" s="1"/>
  <c r="H132" i="4"/>
  <c r="H131" i="4" s="1"/>
  <c r="H129" i="4" s="1"/>
  <c r="H127" i="4"/>
  <c r="H126" i="4" s="1"/>
  <c r="H124" i="4" s="1"/>
  <c r="H122" i="4"/>
  <c r="H121" i="4" s="1"/>
  <c r="H120" i="4" s="1"/>
  <c r="H118" i="4"/>
  <c r="H117" i="4" s="1"/>
  <c r="H116" i="4" s="1"/>
  <c r="H113" i="4"/>
  <c r="H112" i="4" s="1"/>
  <c r="H110" i="4"/>
  <c r="H108" i="4"/>
  <c r="H102" i="4"/>
  <c r="H100" i="4"/>
  <c r="H99" i="4"/>
  <c r="H98" i="4" s="1"/>
  <c r="H97" i="4" s="1"/>
  <c r="H96" i="4" s="1"/>
  <c r="H94" i="4"/>
  <c r="H93" i="4" s="1"/>
  <c r="H91" i="4"/>
  <c r="H90" i="4" s="1"/>
  <c r="H85" i="4"/>
  <c r="H84" i="4" s="1"/>
  <c r="H82" i="4"/>
  <c r="H81" i="4" s="1"/>
  <c r="H78" i="4"/>
  <c r="H76" i="4"/>
  <c r="H72" i="4"/>
  <c r="H71" i="4" s="1"/>
  <c r="H70" i="4" s="1"/>
  <c r="H67" i="4"/>
  <c r="H65" i="4"/>
  <c r="H62" i="4"/>
  <c r="H60" i="4"/>
  <c r="H57" i="4"/>
  <c r="H55" i="4"/>
  <c r="H52" i="4"/>
  <c r="H51" i="4"/>
  <c r="H50" i="4" s="1"/>
  <c r="H47" i="4"/>
  <c r="H46" i="4" s="1"/>
  <c r="H43" i="4"/>
  <c r="H42" i="4" s="1"/>
  <c r="H40" i="4"/>
  <c r="H39" i="4" s="1"/>
  <c r="H37" i="4"/>
  <c r="H36" i="4"/>
  <c r="H35" i="4" s="1"/>
  <c r="H33" i="4"/>
  <c r="H31" i="4"/>
  <c r="H23" i="4"/>
  <c r="H22" i="4" s="1"/>
  <c r="H20" i="4"/>
  <c r="H18" i="4"/>
  <c r="H16" i="4"/>
  <c r="H765" i="4" l="1"/>
  <c r="H694" i="4"/>
  <c r="H418" i="4"/>
  <c r="H417" i="4" s="1"/>
  <c r="H416" i="4" s="1"/>
  <c r="H249" i="4"/>
  <c r="H388" i="4"/>
  <c r="H667" i="5"/>
  <c r="H64" i="4"/>
  <c r="H107" i="4"/>
  <c r="H857" i="4"/>
  <c r="H856" i="4" s="1"/>
  <c r="H314" i="4"/>
  <c r="H528" i="4"/>
  <c r="H527" i="4" s="1"/>
  <c r="H526" i="4" s="1"/>
  <c r="H525" i="4" s="1"/>
  <c r="H673" i="4"/>
  <c r="H144" i="4"/>
  <c r="H668" i="5"/>
  <c r="H325" i="5"/>
  <c r="H878" i="5"/>
  <c r="H49" i="4"/>
  <c r="H321" i="4"/>
  <c r="H871" i="5"/>
  <c r="H623" i="5"/>
  <c r="H622" i="5" s="1"/>
  <c r="H321" i="5"/>
  <c r="H125" i="4"/>
  <c r="H263" i="4"/>
  <c r="H748" i="4"/>
  <c r="H747" i="4"/>
  <c r="H943" i="5"/>
  <c r="H931" i="5"/>
  <c r="H509" i="5"/>
  <c r="H489" i="5"/>
  <c r="H987" i="5"/>
  <c r="H537" i="5"/>
  <c r="H73" i="5"/>
  <c r="H542" i="5"/>
  <c r="H464" i="5"/>
  <c r="H516" i="5"/>
  <c r="H226" i="5"/>
  <c r="H735" i="4"/>
  <c r="H262" i="5"/>
  <c r="H283" i="5"/>
  <c r="H309" i="5"/>
  <c r="H979" i="5"/>
  <c r="H963" i="5"/>
  <c r="H706" i="5"/>
  <c r="H483" i="5"/>
  <c r="H366" i="5"/>
  <c r="H276" i="5"/>
  <c r="H256" i="5"/>
  <c r="H130" i="4"/>
  <c r="H682" i="5"/>
  <c r="H294" i="4"/>
  <c r="H698" i="5"/>
  <c r="H927" i="5"/>
  <c r="H37" i="6"/>
  <c r="H523" i="5"/>
  <c r="H616" i="5"/>
  <c r="H34" i="6"/>
  <c r="H27" i="6"/>
  <c r="H921" i="5"/>
  <c r="H65" i="5"/>
  <c r="H905" i="5"/>
  <c r="H152" i="4"/>
  <c r="H151" i="4" s="1"/>
  <c r="H143" i="4" s="1"/>
  <c r="H142" i="4" s="1"/>
  <c r="H141" i="4" s="1"/>
  <c r="H373" i="4"/>
  <c r="H372" i="4" s="1"/>
  <c r="H477" i="4"/>
  <c r="H556" i="4"/>
  <c r="H738" i="4"/>
  <c r="H879" i="4"/>
  <c r="H878" i="4" s="1"/>
  <c r="H877" i="4" s="1"/>
  <c r="H876" i="4" s="1"/>
  <c r="H917" i="5"/>
  <c r="H687" i="5"/>
  <c r="H649" i="5"/>
  <c r="H505" i="5"/>
  <c r="H404" i="5"/>
  <c r="H947" i="5"/>
  <c r="H333" i="5"/>
  <c r="H291" i="5"/>
  <c r="H16" i="6"/>
  <c r="H219" i="5"/>
  <c r="H714" i="5"/>
  <c r="H344" i="5"/>
  <c r="H201" i="5"/>
  <c r="H894" i="5"/>
  <c r="H725" i="5"/>
  <c r="H630" i="5"/>
  <c r="H595" i="5"/>
  <c r="H147" i="5"/>
  <c r="H746" i="5"/>
  <c r="H22" i="5"/>
  <c r="H730" i="5"/>
  <c r="H694" i="5"/>
  <c r="H107" i="5"/>
  <c r="H115" i="4"/>
  <c r="H183" i="4"/>
  <c r="H182" i="4" s="1"/>
  <c r="H216" i="4"/>
  <c r="H215" i="4" s="1"/>
  <c r="H214" i="4" s="1"/>
  <c r="H428" i="4"/>
  <c r="H427" i="4" s="1"/>
  <c r="H426" i="4" s="1"/>
  <c r="H462" i="4"/>
  <c r="H457" i="4" s="1"/>
  <c r="H446" i="4" s="1"/>
  <c r="H445" i="4" s="1"/>
  <c r="H444" i="4" s="1"/>
  <c r="H937" i="5"/>
  <c r="H783" i="5"/>
  <c r="H720" i="5"/>
  <c r="H645" i="5"/>
  <c r="H554" i="5"/>
  <c r="H475" i="5"/>
  <c r="H396" i="5"/>
  <c r="H329" i="5"/>
  <c r="H287" i="5"/>
  <c r="H20" i="6"/>
  <c r="H955" i="5"/>
  <c r="H378" i="5"/>
  <c r="H313" i="5"/>
  <c r="H736" i="5"/>
  <c r="H641" i="5"/>
  <c r="H971" i="5"/>
  <c r="H479" i="5"/>
  <c r="H388" i="5"/>
  <c r="H530" i="5"/>
  <c r="H99" i="5"/>
  <c r="H384" i="5"/>
  <c r="H657" i="5"/>
  <c r="H603" i="5"/>
  <c r="H686" i="5"/>
  <c r="H684" i="5"/>
  <c r="H693" i="5"/>
  <c r="H866" i="4"/>
  <c r="H865" i="4" s="1"/>
  <c r="H864" i="4" s="1"/>
  <c r="H843" i="4"/>
  <c r="H805" i="4"/>
  <c r="H779" i="4"/>
  <c r="H778" i="4" s="1"/>
  <c r="H773" i="4" s="1"/>
  <c r="H764" i="4"/>
  <c r="H763" i="4" s="1"/>
  <c r="H755" i="4"/>
  <c r="H754" i="4" s="1"/>
  <c r="H753" i="4" s="1"/>
  <c r="H752" i="4" s="1"/>
  <c r="H680" i="4"/>
  <c r="H660" i="4"/>
  <c r="H637" i="4"/>
  <c r="H619" i="4"/>
  <c r="H607" i="4"/>
  <c r="H590" i="4"/>
  <c r="H563" i="4"/>
  <c r="H511" i="4"/>
  <c r="H497" i="4"/>
  <c r="H496" i="4" s="1"/>
  <c r="H495" i="4" s="1"/>
  <c r="H494" i="4" s="1"/>
  <c r="H487" i="4"/>
  <c r="H488" i="4"/>
  <c r="H476" i="4"/>
  <c r="H475" i="4" s="1"/>
  <c r="H395" i="4"/>
  <c r="H300" i="4"/>
  <c r="H291" i="4"/>
  <c r="H290" i="4" s="1"/>
  <c r="H224" i="4"/>
  <c r="H223" i="4" s="1"/>
  <c r="H206" i="4"/>
  <c r="H205" i="4" s="1"/>
  <c r="H204" i="4" s="1"/>
  <c r="H203" i="4" s="1"/>
  <c r="H190" i="4" s="1"/>
  <c r="H199" i="4"/>
  <c r="H177" i="4"/>
  <c r="H176" i="4" s="1"/>
  <c r="H175" i="4" s="1"/>
  <c r="H163" i="4"/>
  <c r="H162" i="4" s="1"/>
  <c r="H161" i="4" s="1"/>
  <c r="H80" i="4"/>
  <c r="H75" i="4"/>
  <c r="H74" i="4" s="1"/>
  <c r="H59" i="4"/>
  <c r="H54" i="4"/>
  <c r="H15" i="4"/>
  <c r="H14" i="4" s="1"/>
  <c r="H13" i="4" s="1"/>
  <c r="H12" i="4" s="1"/>
  <c r="H11" i="4" s="1"/>
  <c r="H10" i="4" s="1"/>
  <c r="H30" i="4"/>
  <c r="H29" i="4" s="1"/>
  <c r="H580" i="4"/>
  <c r="H725" i="4"/>
  <c r="H720" i="4" s="1"/>
  <c r="H89" i="4"/>
  <c r="H88" i="4" s="1"/>
  <c r="H87" i="4" s="1"/>
  <c r="H256" i="4"/>
  <c r="H248" i="4" s="1"/>
  <c r="H247" i="4" s="1"/>
  <c r="H246" i="4" s="1"/>
  <c r="H245" i="4" s="1"/>
  <c r="H279" i="4"/>
  <c r="H278" i="4" s="1"/>
  <c r="H343" i="4"/>
  <c r="H342" i="4" s="1"/>
  <c r="H106" i="4"/>
  <c r="H105" i="4" s="1"/>
  <c r="H701" i="4"/>
  <c r="H241" i="4"/>
  <c r="H360" i="4"/>
  <c r="H453" i="4"/>
  <c r="H600" i="4"/>
  <c r="H721" i="4"/>
  <c r="H815" i="4"/>
  <c r="H832" i="4"/>
  <c r="H627" i="4"/>
  <c r="H626" i="4" s="1"/>
  <c r="H329" i="4"/>
  <c r="H328" i="4" s="1"/>
  <c r="H320" i="4" s="1"/>
  <c r="H319" i="4" s="1"/>
  <c r="H318" i="4" s="1"/>
  <c r="H351" i="4"/>
  <c r="H350" i="4" s="1"/>
  <c r="H687" i="4"/>
  <c r="H1160" i="4"/>
  <c r="H1159" i="4" s="1"/>
  <c r="H1157" i="4"/>
  <c r="H1155" i="4"/>
  <c r="H1149" i="4"/>
  <c r="H1148" i="4" s="1"/>
  <c r="H1146" i="4"/>
  <c r="H1144" i="4"/>
  <c r="H1135" i="4"/>
  <c r="H1131" i="4"/>
  <c r="H1127" i="4"/>
  <c r="H1125" i="4"/>
  <c r="H1117" i="4"/>
  <c r="H1116" i="4" s="1"/>
  <c r="H1115" i="4" s="1"/>
  <c r="H1109" i="4"/>
  <c r="H1108" i="4" s="1"/>
  <c r="H1107" i="4" s="1"/>
  <c r="H1104" i="4"/>
  <c r="H1103" i="4" s="1"/>
  <c r="H1099" i="4"/>
  <c r="H1095" i="4"/>
  <c r="H1094" i="4" s="1"/>
  <c r="H1092" i="4"/>
  <c r="H1090" i="4"/>
  <c r="H1085" i="4"/>
  <c r="H1082" i="4"/>
  <c r="H1080" i="4"/>
  <c r="H1078" i="4"/>
  <c r="H1067" i="4"/>
  <c r="H1066" i="4" s="1"/>
  <c r="H1064" i="4"/>
  <c r="H1063" i="4"/>
  <c r="H1060" i="4"/>
  <c r="H1059" i="4" s="1"/>
  <c r="H1057" i="4"/>
  <c r="H1055" i="4"/>
  <c r="H1049" i="4"/>
  <c r="H1048" i="4" s="1"/>
  <c r="H1044" i="4"/>
  <c r="H1043" i="4" s="1"/>
  <c r="H1042" i="4"/>
  <c r="H1040" i="4" s="1"/>
  <c r="H1035" i="4"/>
  <c r="H1034" i="4" s="1"/>
  <c r="H1029" i="4"/>
  <c r="H1027" i="4"/>
  <c r="H1026" i="4" s="1"/>
  <c r="H1022" i="4"/>
  <c r="H999" i="5" s="1"/>
  <c r="H1016" i="4"/>
  <c r="H1015" i="4" s="1"/>
  <c r="H1012" i="4"/>
  <c r="H1011" i="4" s="1"/>
  <c r="H1008" i="4"/>
  <c r="H1007" i="4" s="1"/>
  <c r="H1006" i="4" s="1"/>
  <c r="H1004" i="4"/>
  <c r="H1003" i="4" s="1"/>
  <c r="H1000" i="4"/>
  <c r="H999" i="4" s="1"/>
  <c r="H996" i="4"/>
  <c r="H995" i="4" s="1"/>
  <c r="H992" i="4"/>
  <c r="H991" i="4" s="1"/>
  <c r="H987" i="4"/>
  <c r="H986" i="4" s="1"/>
  <c r="H984" i="4"/>
  <c r="H982" i="4"/>
  <c r="H979" i="4"/>
  <c r="H978" i="4"/>
  <c r="H976" i="4"/>
  <c r="H974" i="4"/>
  <c r="H970" i="4"/>
  <c r="H968" i="4"/>
  <c r="H967" i="4" s="1"/>
  <c r="H964" i="4"/>
  <c r="H962" i="4"/>
  <c r="H960" i="4"/>
  <c r="H954" i="4"/>
  <c r="H953" i="4" s="1"/>
  <c r="H951" i="4"/>
  <c r="H950" i="4" s="1"/>
  <c r="H948" i="4"/>
  <c r="H947" i="4" s="1"/>
  <c r="H945" i="4"/>
  <c r="H943" i="4"/>
  <c r="H936" i="4"/>
  <c r="H935" i="4" s="1"/>
  <c r="H930" i="4"/>
  <c r="H928" i="4"/>
  <c r="H926" i="4"/>
  <c r="H922" i="4"/>
  <c r="H921" i="4" s="1"/>
  <c r="H916" i="4"/>
  <c r="H915" i="4" s="1"/>
  <c r="H909" i="4"/>
  <c r="H908" i="4" s="1"/>
  <c r="H907" i="4" s="1"/>
  <c r="H906" i="4" s="1"/>
  <c r="H902" i="4"/>
  <c r="H901" i="4"/>
  <c r="H897" i="4"/>
  <c r="H895" i="4"/>
  <c r="H893" i="4"/>
  <c r="H890" i="4"/>
  <c r="H889" i="4" s="1"/>
  <c r="I1161" i="4"/>
  <c r="I1158" i="4"/>
  <c r="I1150" i="4"/>
  <c r="I1147" i="4"/>
  <c r="I1110" i="4"/>
  <c r="I1096" i="4"/>
  <c r="I1093" i="4"/>
  <c r="I1091" i="4"/>
  <c r="I1083" i="4"/>
  <c r="I1081" i="4"/>
  <c r="I1068" i="4"/>
  <c r="I1065" i="4"/>
  <c r="I1061" i="4"/>
  <c r="I1058" i="4"/>
  <c r="I1050" i="4"/>
  <c r="I1041" i="4"/>
  <c r="I1036" i="4"/>
  <c r="I1030" i="4"/>
  <c r="I1017" i="4"/>
  <c r="I1013" i="4"/>
  <c r="I1009" i="4"/>
  <c r="I1005" i="4"/>
  <c r="I1001" i="4"/>
  <c r="I997" i="4"/>
  <c r="I993" i="4"/>
  <c r="I988" i="4"/>
  <c r="I985" i="4"/>
  <c r="I983" i="4"/>
  <c r="I980" i="4"/>
  <c r="I977" i="4"/>
  <c r="I975" i="4"/>
  <c r="I971" i="4"/>
  <c r="I966" i="4"/>
  <c r="I965" i="4"/>
  <c r="I963" i="4"/>
  <c r="I955" i="4"/>
  <c r="I952" i="4"/>
  <c r="I949" i="4"/>
  <c r="I946" i="4"/>
  <c r="I937" i="4"/>
  <c r="I931" i="4"/>
  <c r="I927" i="4"/>
  <c r="I923" i="4"/>
  <c r="I17" i="5" s="1"/>
  <c r="I917" i="4"/>
  <c r="I910" i="4"/>
  <c r="I903" i="4"/>
  <c r="I849" i="4"/>
  <c r="I846" i="4"/>
  <c r="I838" i="4"/>
  <c r="I835" i="4"/>
  <c r="I828" i="4"/>
  <c r="I824" i="4"/>
  <c r="I821" i="4"/>
  <c r="I818" i="4"/>
  <c r="I802" i="4"/>
  <c r="I796" i="4"/>
  <c r="I788" i="4"/>
  <c r="I772" i="4"/>
  <c r="I769" i="4"/>
  <c r="I761" i="4"/>
  <c r="I751" i="4"/>
  <c r="I742" i="4"/>
  <c r="I728" i="4"/>
  <c r="I712" i="4"/>
  <c r="I707" i="4"/>
  <c r="I700" i="4"/>
  <c r="I690" i="4"/>
  <c r="I683" i="4"/>
  <c r="I676" i="4"/>
  <c r="I666" i="4"/>
  <c r="I663" i="4"/>
  <c r="I655" i="4"/>
  <c r="I646" i="4"/>
  <c r="I643" i="4"/>
  <c r="I640" i="4"/>
  <c r="I623" i="4"/>
  <c r="I618" i="4"/>
  <c r="I613" i="4"/>
  <c r="I610" i="4"/>
  <c r="I606" i="4"/>
  <c r="I603" i="4"/>
  <c r="I599" i="4"/>
  <c r="I593" i="4"/>
  <c r="I589" i="4"/>
  <c r="I586" i="4"/>
  <c r="I583" i="4"/>
  <c r="I575" i="4"/>
  <c r="I566" i="4"/>
  <c r="I551" i="4"/>
  <c r="I548" i="4"/>
  <c r="I540" i="4"/>
  <c r="I524" i="4"/>
  <c r="I510" i="4"/>
  <c r="I506" i="4"/>
  <c r="I501" i="4"/>
  <c r="I486" i="4"/>
  <c r="I483" i="4"/>
  <c r="I472" i="4"/>
  <c r="I467" i="4"/>
  <c r="I465" i="4"/>
  <c r="I461" i="4"/>
  <c r="I456" i="4"/>
  <c r="I437" i="4"/>
  <c r="I425" i="4"/>
  <c r="I422" i="4"/>
  <c r="I409" i="4"/>
  <c r="I401" i="4"/>
  <c r="I398" i="4"/>
  <c r="I394" i="4"/>
  <c r="I391" i="4"/>
  <c r="I387" i="4"/>
  <c r="I383" i="4"/>
  <c r="I363" i="4"/>
  <c r="I359" i="4"/>
  <c r="I353" i="4"/>
  <c r="I337" i="4"/>
  <c r="I333" i="4"/>
  <c r="I327" i="4"/>
  <c r="I324" i="4"/>
  <c r="I306" i="4"/>
  <c r="I303" i="4"/>
  <c r="I299" i="4"/>
  <c r="I289" i="4"/>
  <c r="I273" i="4"/>
  <c r="I269" i="4"/>
  <c r="I266" i="4"/>
  <c r="I259" i="4"/>
  <c r="I255" i="4"/>
  <c r="I252" i="4"/>
  <c r="I244" i="4"/>
  <c r="I239" i="4"/>
  <c r="I236" i="4"/>
  <c r="I233" i="4"/>
  <c r="I230" i="4"/>
  <c r="I227" i="4"/>
  <c r="I222" i="4"/>
  <c r="I202" i="4"/>
  <c r="I189" i="4"/>
  <c r="I186" i="4"/>
  <c r="I181" i="4"/>
  <c r="I179" i="4"/>
  <c r="I169" i="4"/>
  <c r="I159" i="4"/>
  <c r="I156" i="4"/>
  <c r="I147" i="4"/>
  <c r="I140" i="4"/>
  <c r="I133" i="4"/>
  <c r="I128" i="4"/>
  <c r="I123" i="4"/>
  <c r="I119" i="4"/>
  <c r="I114" i="4"/>
  <c r="I103" i="4"/>
  <c r="I101" i="4"/>
  <c r="I95" i="4"/>
  <c r="I86" i="4"/>
  <c r="I83" i="4"/>
  <c r="I77" i="4"/>
  <c r="I73" i="4"/>
  <c r="I58" i="4"/>
  <c r="I53" i="4"/>
  <c r="I48" i="4"/>
  <c r="I44" i="4"/>
  <c r="I24" i="4"/>
  <c r="I21" i="4"/>
  <c r="H1015" i="3"/>
  <c r="H1012" i="3"/>
  <c r="H569" i="3"/>
  <c r="H194" i="3"/>
  <c r="H182" i="3"/>
  <c r="G1068" i="3"/>
  <c r="G1067" i="3" s="1"/>
  <c r="G1063" i="3"/>
  <c r="G1060" i="3"/>
  <c r="G1058" i="3"/>
  <c r="G1057" i="3" s="1"/>
  <c r="G1056" i="3"/>
  <c r="G1041" i="3"/>
  <c r="G1040" i="3" s="1"/>
  <c r="G1029" i="3"/>
  <c r="G1014" i="3"/>
  <c r="G1013" i="3" s="1"/>
  <c r="G1011" i="3"/>
  <c r="G1010" i="3" s="1"/>
  <c r="G1008" i="3"/>
  <c r="G1001" i="3"/>
  <c r="G1000" i="3" s="1"/>
  <c r="G999" i="3" s="1"/>
  <c r="G994" i="3"/>
  <c r="G993" i="3" s="1"/>
  <c r="G992" i="3"/>
  <c r="G990" i="3"/>
  <c r="G989" i="3"/>
  <c r="G987" i="3"/>
  <c r="G986" i="3"/>
  <c r="G984" i="3"/>
  <c r="G983" i="3"/>
  <c r="G980" i="3"/>
  <c r="G979" i="3" s="1"/>
  <c r="G977" i="3"/>
  <c r="G976" i="3" s="1"/>
  <c r="G975" i="3" s="1"/>
  <c r="G974" i="3"/>
  <c r="G973" i="3" s="1"/>
  <c r="G968" i="3"/>
  <c r="G962" i="3"/>
  <c r="G949" i="3"/>
  <c r="G944" i="3"/>
  <c r="G943" i="3" s="1"/>
  <c r="H943" i="3" s="1"/>
  <c r="G939" i="3"/>
  <c r="G938" i="3" s="1"/>
  <c r="G923" i="3"/>
  <c r="G911" i="3"/>
  <c r="G898" i="3"/>
  <c r="G897" i="3" s="1"/>
  <c r="G895" i="3"/>
  <c r="G894" i="3"/>
  <c r="G893" i="3"/>
  <c r="G891" i="3"/>
  <c r="G890" i="3" s="1"/>
  <c r="G886" i="3"/>
  <c r="G883" i="3"/>
  <c r="G882" i="3" s="1"/>
  <c r="G881" i="3"/>
  <c r="G880" i="3" s="1"/>
  <c r="G875" i="3"/>
  <c r="G874" i="3" s="1"/>
  <c r="G870" i="3"/>
  <c r="G865" i="3"/>
  <c r="G864" i="3" s="1"/>
  <c r="G862" i="3"/>
  <c r="G859" i="3"/>
  <c r="G858" i="3" s="1"/>
  <c r="G855" i="3"/>
  <c r="G854" i="3" s="1"/>
  <c r="G852" i="3"/>
  <c r="G848" i="3"/>
  <c r="G844" i="3"/>
  <c r="G840" i="3"/>
  <c r="G839" i="3"/>
  <c r="G838" i="3"/>
  <c r="G837" i="3"/>
  <c r="G831" i="3"/>
  <c r="G830" i="3" s="1"/>
  <c r="G827" i="3"/>
  <c r="H590" i="5" s="1"/>
  <c r="G824" i="3"/>
  <c r="H586" i="5" s="1"/>
  <c r="G820" i="3"/>
  <c r="H579" i="5" s="1"/>
  <c r="G816" i="3"/>
  <c r="H572" i="5" s="1"/>
  <c r="G814" i="3"/>
  <c r="H569" i="5" s="1"/>
  <c r="G810" i="3"/>
  <c r="G808" i="3"/>
  <c r="G798" i="3"/>
  <c r="G782" i="3"/>
  <c r="G762" i="3"/>
  <c r="G758" i="3"/>
  <c r="H52" i="5" s="1"/>
  <c r="G752" i="3"/>
  <c r="H42" i="5" s="1"/>
  <c r="G749" i="3"/>
  <c r="H38" i="5" s="1"/>
  <c r="G742" i="3"/>
  <c r="G739" i="3"/>
  <c r="G738" i="3" s="1"/>
  <c r="G725" i="3"/>
  <c r="G724" i="3" s="1"/>
  <c r="G721" i="3"/>
  <c r="G720" i="3" s="1"/>
  <c r="G715" i="3"/>
  <c r="G714" i="3" s="1"/>
  <c r="G711" i="3"/>
  <c r="G707" i="3"/>
  <c r="G706" i="3" s="1"/>
  <c r="G705" i="3"/>
  <c r="G704" i="3" s="1"/>
  <c r="G703" i="3"/>
  <c r="G702" i="3" s="1"/>
  <c r="G693" i="3"/>
  <c r="G682" i="3"/>
  <c r="G681" i="3" s="1"/>
  <c r="G680" i="3" s="1"/>
  <c r="G679" i="3"/>
  <c r="G678" i="3" s="1"/>
  <c r="G668" i="3"/>
  <c r="G667" i="3" s="1"/>
  <c r="G666" i="3" s="1"/>
  <c r="G663" i="3"/>
  <c r="G658" i="3"/>
  <c r="G655" i="3"/>
  <c r="G651" i="3"/>
  <c r="G648" i="3"/>
  <c r="G641" i="3"/>
  <c r="G620" i="3"/>
  <c r="G606" i="3"/>
  <c r="G600" i="3"/>
  <c r="H233" i="5" s="1"/>
  <c r="G597" i="3"/>
  <c r="H229" i="5" s="1"/>
  <c r="G594" i="3"/>
  <c r="G591" i="3"/>
  <c r="G590" i="3" s="1"/>
  <c r="G587" i="3"/>
  <c r="H188" i="5" s="1"/>
  <c r="G584" i="3"/>
  <c r="G581" i="3"/>
  <c r="H180" i="5" s="1"/>
  <c r="G580" i="3"/>
  <c r="G574" i="3"/>
  <c r="G573" i="3" s="1"/>
  <c r="G572" i="3" s="1"/>
  <c r="G571" i="3" s="1"/>
  <c r="G568" i="3"/>
  <c r="G567" i="3" s="1"/>
  <c r="G566" i="3"/>
  <c r="G565" i="3" s="1"/>
  <c r="G562" i="3"/>
  <c r="G557" i="3"/>
  <c r="H304" i="5" s="1"/>
  <c r="G554" i="3"/>
  <c r="G544" i="3"/>
  <c r="G543" i="3" s="1"/>
  <c r="G540" i="3"/>
  <c r="G539" i="3" s="1"/>
  <c r="G537" i="3"/>
  <c r="G526" i="3"/>
  <c r="H212" i="5" s="1"/>
  <c r="G517" i="3"/>
  <c r="G513" i="3"/>
  <c r="H175" i="5" s="1"/>
  <c r="G510" i="3"/>
  <c r="G502" i="3"/>
  <c r="G497" i="3"/>
  <c r="G492" i="3"/>
  <c r="G491" i="3" s="1"/>
  <c r="G488" i="3"/>
  <c r="G487" i="3" s="1"/>
  <c r="G486" i="3" s="1"/>
  <c r="G483" i="3"/>
  <c r="G478" i="3"/>
  <c r="G477" i="3" s="1"/>
  <c r="G473" i="3"/>
  <c r="G471" i="3"/>
  <c r="G470" i="3" s="1"/>
  <c r="G460" i="3"/>
  <c r="H796" i="5" s="1"/>
  <c r="G457" i="3"/>
  <c r="H792" i="5" s="1"/>
  <c r="G453" i="3"/>
  <c r="H781" i="5" s="1"/>
  <c r="G450" i="3"/>
  <c r="G449" i="3" s="1"/>
  <c r="G445" i="3"/>
  <c r="G442" i="3"/>
  <c r="G437" i="3"/>
  <c r="G436" i="3" s="1"/>
  <c r="G433" i="3"/>
  <c r="H755" i="5" s="1"/>
  <c r="G428" i="3"/>
  <c r="G427" i="3" s="1"/>
  <c r="G426" i="3" s="1"/>
  <c r="G422" i="3"/>
  <c r="G420" i="3"/>
  <c r="G419" i="3" s="1"/>
  <c r="G414" i="3"/>
  <c r="G409" i="3"/>
  <c r="H865" i="5" s="1"/>
  <c r="G405" i="3"/>
  <c r="H858" i="5" s="1"/>
  <c r="G401" i="3"/>
  <c r="G380" i="3"/>
  <c r="G379" i="3" s="1"/>
  <c r="G378" i="3" s="1"/>
  <c r="G377" i="3"/>
  <c r="G375" i="3"/>
  <c r="G372" i="3"/>
  <c r="G371" i="3" s="1"/>
  <c r="G369" i="3"/>
  <c r="G367" i="3"/>
  <c r="G363" i="3"/>
  <c r="G362" i="3" s="1"/>
  <c r="G361" i="3"/>
  <c r="G358" i="3"/>
  <c r="G357" i="3"/>
  <c r="G355" i="3"/>
  <c r="G353" i="3"/>
  <c r="G352" i="3" s="1"/>
  <c r="G347" i="3"/>
  <c r="G346" i="3" s="1"/>
  <c r="G345" i="3" s="1"/>
  <c r="G329" i="3"/>
  <c r="H422" i="5" s="1"/>
  <c r="G326" i="3"/>
  <c r="G321" i="3"/>
  <c r="G320" i="3" s="1"/>
  <c r="G317" i="3"/>
  <c r="H143" i="5" s="1"/>
  <c r="G314" i="3"/>
  <c r="H139" i="5" s="1"/>
  <c r="G310" i="3"/>
  <c r="G307" i="3"/>
  <c r="H128" i="5" s="1"/>
  <c r="G303" i="3"/>
  <c r="G300" i="3"/>
  <c r="G294" i="3"/>
  <c r="G279" i="3"/>
  <c r="G277" i="3"/>
  <c r="G273" i="3"/>
  <c r="G272" i="3" s="1"/>
  <c r="G261" i="3"/>
  <c r="H815" i="5" s="1"/>
  <c r="G254" i="3"/>
  <c r="G253" i="3" s="1"/>
  <c r="G247" i="3"/>
  <c r="G246" i="3" s="1"/>
  <c r="G245" i="3" s="1"/>
  <c r="G235" i="3"/>
  <c r="G234" i="3" s="1"/>
  <c r="G233" i="3" s="1"/>
  <c r="G228" i="3"/>
  <c r="G227" i="3" s="1"/>
  <c r="G221" i="3"/>
  <c r="G216" i="3"/>
  <c r="G215" i="3" s="1"/>
  <c r="G214" i="3" s="1"/>
  <c r="G206" i="3"/>
  <c r="G205" i="3" s="1"/>
  <c r="G202" i="3"/>
  <c r="G197" i="3"/>
  <c r="G193" i="3"/>
  <c r="G192" i="3" s="1"/>
  <c r="G191" i="3"/>
  <c r="G190" i="3" s="1"/>
  <c r="G188" i="3"/>
  <c r="G185" i="3"/>
  <c r="G184" i="3" s="1"/>
  <c r="G181" i="3"/>
  <c r="G180" i="3" s="1"/>
  <c r="G179" i="3"/>
  <c r="G174" i="3"/>
  <c r="G165" i="3"/>
  <c r="G156" i="3"/>
  <c r="G155" i="3" s="1"/>
  <c r="G153" i="3"/>
  <c r="G139" i="3"/>
  <c r="G133" i="3"/>
  <c r="G131" i="3"/>
  <c r="G125" i="3"/>
  <c r="G124" i="3" s="1"/>
  <c r="G123" i="3" s="1"/>
  <c r="G122" i="3"/>
  <c r="G120" i="3"/>
  <c r="G119" i="3" s="1"/>
  <c r="G114" i="3"/>
  <c r="G113" i="3" s="1"/>
  <c r="G111" i="3"/>
  <c r="G103" i="3"/>
  <c r="H460" i="5" s="1"/>
  <c r="G100" i="3"/>
  <c r="H456" i="5" s="1"/>
  <c r="G94" i="3"/>
  <c r="G85" i="3"/>
  <c r="G84" i="3" s="1"/>
  <c r="G83" i="3" s="1"/>
  <c r="G67" i="3"/>
  <c r="G65" i="3"/>
  <c r="G64" i="3" s="1"/>
  <c r="G62" i="3"/>
  <c r="G61" i="3" s="1"/>
  <c r="G58" i="3"/>
  <c r="G57" i="3" s="1"/>
  <c r="G50" i="3"/>
  <c r="G49" i="3"/>
  <c r="G40" i="3"/>
  <c r="G39" i="3"/>
  <c r="G37" i="3"/>
  <c r="G26" i="3"/>
  <c r="H437" i="5" s="1"/>
  <c r="G21" i="3"/>
  <c r="G20" i="3" s="1"/>
  <c r="G19" i="3" s="1"/>
  <c r="G18" i="3"/>
  <c r="G17" i="3" s="1"/>
  <c r="F19" i="2"/>
  <c r="E18" i="2"/>
  <c r="G942" i="3" l="1"/>
  <c r="G941" i="3" s="1"/>
  <c r="G940" i="3" s="1"/>
  <c r="G1009" i="3"/>
  <c r="H762" i="4"/>
  <c r="H719" i="4"/>
  <c r="H555" i="4"/>
  <c r="H474" i="4"/>
  <c r="H473" i="4" s="1"/>
  <c r="H371" i="4"/>
  <c r="H213" i="4"/>
  <c r="H212" i="4" s="1"/>
  <c r="G25" i="3"/>
  <c r="G24" i="3" s="1"/>
  <c r="H981" i="4"/>
  <c r="H415" i="4"/>
  <c r="H493" i="4"/>
  <c r="H492" i="4" s="1"/>
  <c r="H926" i="5"/>
  <c r="G173" i="3"/>
  <c r="H162" i="5"/>
  <c r="G309" i="3"/>
  <c r="H132" i="5"/>
  <c r="H756" i="5"/>
  <c r="H754" i="5"/>
  <c r="H213" i="5"/>
  <c r="H211" i="5"/>
  <c r="H43" i="5"/>
  <c r="H41" i="5"/>
  <c r="H573" i="5"/>
  <c r="H571" i="5"/>
  <c r="H621" i="5"/>
  <c r="H970" i="5"/>
  <c r="H19" i="6"/>
  <c r="H719" i="5"/>
  <c r="H936" i="5"/>
  <c r="H106" i="5"/>
  <c r="H15" i="6"/>
  <c r="H683" i="5"/>
  <c r="H681" i="5"/>
  <c r="H488" i="5"/>
  <c r="G299" i="3"/>
  <c r="G298" i="3" s="1"/>
  <c r="H117" i="5"/>
  <c r="H140" i="5"/>
  <c r="H138" i="5"/>
  <c r="H782" i="5"/>
  <c r="H780" i="5"/>
  <c r="G509" i="3"/>
  <c r="G508" i="3" s="1"/>
  <c r="H171" i="5"/>
  <c r="G583" i="3"/>
  <c r="G582" i="3" s="1"/>
  <c r="H184" i="5"/>
  <c r="H580" i="5"/>
  <c r="H578" i="5"/>
  <c r="H718" i="4"/>
  <c r="H98" i="5"/>
  <c r="H474" i="5"/>
  <c r="H337" i="5"/>
  <c r="H339" i="5"/>
  <c r="H361" i="5"/>
  <c r="H962" i="5"/>
  <c r="H308" i="5"/>
  <c r="H515" i="5"/>
  <c r="H438" i="5"/>
  <c r="H436" i="5"/>
  <c r="G93" i="3"/>
  <c r="H446" i="5"/>
  <c r="G302" i="3"/>
  <c r="H121" i="5"/>
  <c r="H144" i="5"/>
  <c r="H142" i="5"/>
  <c r="H859" i="5"/>
  <c r="H857" i="5"/>
  <c r="H791" i="5"/>
  <c r="H793" i="5"/>
  <c r="H176" i="5"/>
  <c r="H174" i="5"/>
  <c r="H189" i="5"/>
  <c r="H187" i="5"/>
  <c r="H234" i="5"/>
  <c r="H232" i="5"/>
  <c r="G647" i="3"/>
  <c r="H375" i="5"/>
  <c r="G748" i="3"/>
  <c r="G761" i="3"/>
  <c r="G760" i="3" s="1"/>
  <c r="H59" i="5"/>
  <c r="H585" i="5"/>
  <c r="H959" i="4"/>
  <c r="H45" i="4"/>
  <c r="H28" i="4" s="1"/>
  <c r="H855" i="4"/>
  <c r="H656" i="5"/>
  <c r="H482" i="5"/>
  <c r="H735" i="5"/>
  <c r="H222" i="5"/>
  <c r="H26" i="6"/>
  <c r="H978" i="5"/>
  <c r="H359" i="5"/>
  <c r="H463" i="5"/>
  <c r="H462" i="5"/>
  <c r="H72" i="5"/>
  <c r="H986" i="5"/>
  <c r="H320" i="5"/>
  <c r="H870" i="5"/>
  <c r="H461" i="5"/>
  <c r="H459" i="5"/>
  <c r="H458" i="5" s="1"/>
  <c r="H816" i="5"/>
  <c r="H814" i="5"/>
  <c r="G325" i="3"/>
  <c r="G324" i="3" s="1"/>
  <c r="H418" i="5"/>
  <c r="H179" i="5"/>
  <c r="H181" i="5"/>
  <c r="H998" i="5"/>
  <c r="H692" i="5"/>
  <c r="H391" i="5"/>
  <c r="H644" i="5"/>
  <c r="H697" i="5"/>
  <c r="H729" i="5"/>
  <c r="H146" i="5"/>
  <c r="H713" i="5"/>
  <c r="H263" i="5"/>
  <c r="H261" i="5"/>
  <c r="H423" i="5"/>
  <c r="H421" i="5"/>
  <c r="G400" i="3"/>
  <c r="G399" i="3" s="1"/>
  <c r="G398" i="3" s="1"/>
  <c r="H851" i="5"/>
  <c r="H305" i="5"/>
  <c r="H303" i="5"/>
  <c r="H230" i="5"/>
  <c r="H228" i="5"/>
  <c r="H51" i="5"/>
  <c r="H53" i="5"/>
  <c r="I18" i="5"/>
  <c r="I16" i="5"/>
  <c r="I15" i="5" s="1"/>
  <c r="H925" i="4"/>
  <c r="H924" i="4" s="1"/>
  <c r="H1054" i="4"/>
  <c r="H777" i="5"/>
  <c r="H659" i="4"/>
  <c r="H625" i="4" s="1"/>
  <c r="H624" i="4" s="1"/>
  <c r="H685" i="5"/>
  <c r="H602" i="5"/>
  <c r="H383" i="5"/>
  <c r="H316" i="5"/>
  <c r="H954" i="5"/>
  <c r="H629" i="5"/>
  <c r="H627" i="5"/>
  <c r="H916" i="5"/>
  <c r="H64" i="5"/>
  <c r="H457" i="5"/>
  <c r="H455" i="5"/>
  <c r="H129" i="5"/>
  <c r="H127" i="5"/>
  <c r="H866" i="5"/>
  <c r="H864" i="5"/>
  <c r="H797" i="5"/>
  <c r="H795" i="5"/>
  <c r="G605" i="3"/>
  <c r="G604" i="3" s="1"/>
  <c r="H241" i="5"/>
  <c r="H39" i="5"/>
  <c r="H37" i="5"/>
  <c r="H570" i="5"/>
  <c r="H568" i="5"/>
  <c r="H591" i="5"/>
  <c r="H589" i="5"/>
  <c r="H920" i="4"/>
  <c r="H973" i="4"/>
  <c r="H972" i="4" s="1"/>
  <c r="H1021" i="4"/>
  <c r="H1124" i="4"/>
  <c r="H1143" i="4"/>
  <c r="H1142" i="4" s="1"/>
  <c r="H104" i="4"/>
  <c r="H69" i="4"/>
  <c r="H174" i="4"/>
  <c r="H160" i="4" s="1"/>
  <c r="H691" i="5"/>
  <c r="H620" i="5"/>
  <c r="H529" i="5"/>
  <c r="H533" i="5"/>
  <c r="H377" i="5"/>
  <c r="H395" i="5"/>
  <c r="H553" i="5"/>
  <c r="H640" i="5"/>
  <c r="H21" i="5"/>
  <c r="H594" i="5"/>
  <c r="H592" i="5"/>
  <c r="H724" i="5"/>
  <c r="H504" i="5"/>
  <c r="H904" i="5"/>
  <c r="H33" i="6"/>
  <c r="H615" i="5"/>
  <c r="H613" i="5"/>
  <c r="H522" i="5"/>
  <c r="H267" i="5"/>
  <c r="H486" i="5"/>
  <c r="H282" i="5"/>
  <c r="H541" i="5"/>
  <c r="H942" i="5"/>
  <c r="H804" i="4"/>
  <c r="H803" i="4" s="1"/>
  <c r="H798" i="4" s="1"/>
  <c r="H797" i="4" s="1"/>
  <c r="H789" i="4" s="1"/>
  <c r="H277" i="4"/>
  <c r="H276" i="4" s="1"/>
  <c r="H275" i="4" s="1"/>
  <c r="H274" i="4" s="1"/>
  <c r="H579" i="4"/>
  <c r="H554" i="4" s="1"/>
  <c r="H553" i="4" s="1"/>
  <c r="H341" i="4"/>
  <c r="G520" i="3"/>
  <c r="H1106" i="4"/>
  <c r="H1089" i="4"/>
  <c r="H1088" i="4" s="1"/>
  <c r="H1077" i="4"/>
  <c r="H892" i="4"/>
  <c r="H888" i="4" s="1"/>
  <c r="H905" i="4"/>
  <c r="H1114" i="4"/>
  <c r="H994" i="4"/>
  <c r="H1014" i="4"/>
  <c r="H1134" i="4"/>
  <c r="H900" i="4"/>
  <c r="H1020" i="4"/>
  <c r="H1038" i="4"/>
  <c r="H1056" i="4"/>
  <c r="H1154" i="4"/>
  <c r="G356" i="3"/>
  <c r="H914" i="4"/>
  <c r="H942" i="4"/>
  <c r="H990" i="4"/>
  <c r="H998" i="4"/>
  <c r="H1010" i="4"/>
  <c r="H1138" i="4"/>
  <c r="H1084" i="4"/>
  <c r="H934" i="4"/>
  <c r="H958" i="4"/>
  <c r="H1002" i="4"/>
  <c r="H1025" i="4"/>
  <c r="H1052" i="4"/>
  <c r="H1062" i="4"/>
  <c r="H1072" i="4"/>
  <c r="H1101" i="4"/>
  <c r="H1130" i="4"/>
  <c r="G737" i="3"/>
  <c r="G542" i="3"/>
  <c r="G723" i="3"/>
  <c r="G154" i="3"/>
  <c r="G187" i="3"/>
  <c r="G213" i="3"/>
  <c r="G226" i="3"/>
  <c r="G260" i="3"/>
  <c r="G308" i="3"/>
  <c r="G421" i="3"/>
  <c r="G418" i="3" s="1"/>
  <c r="G452" i="3"/>
  <c r="G476" i="3"/>
  <c r="G501" i="3"/>
  <c r="G525" i="3"/>
  <c r="G701" i="3"/>
  <c r="G751" i="3"/>
  <c r="G885" i="3"/>
  <c r="G1062" i="3"/>
  <c r="G99" i="3"/>
  <c r="G121" i="3"/>
  <c r="G189" i="3"/>
  <c r="G366" i="3"/>
  <c r="G561" i="3"/>
  <c r="G579" i="3"/>
  <c r="G586" i="3"/>
  <c r="G596" i="3"/>
  <c r="G619" i="3"/>
  <c r="G646" i="3"/>
  <c r="G797" i="3"/>
  <c r="G826" i="3"/>
  <c r="G843" i="3"/>
  <c r="G861" i="3"/>
  <c r="G869" i="3"/>
  <c r="G937" i="3"/>
  <c r="G1066" i="3"/>
  <c r="G102" i="3"/>
  <c r="G138" i="3"/>
  <c r="G172" i="3"/>
  <c r="G183" i="3"/>
  <c r="G313" i="3"/>
  <c r="G368" i="3"/>
  <c r="G376" i="3"/>
  <c r="G441" i="3"/>
  <c r="G482" i="3"/>
  <c r="G553" i="3"/>
  <c r="G564" i="3"/>
  <c r="G563" i="3" s="1"/>
  <c r="G570" i="3"/>
  <c r="G589" i="3"/>
  <c r="G662" i="3"/>
  <c r="G692" i="3"/>
  <c r="G710" i="3"/>
  <c r="G747" i="3"/>
  <c r="G847" i="3"/>
  <c r="G972" i="3"/>
  <c r="G978" i="3"/>
  <c r="G985" i="3"/>
  <c r="G1007" i="3"/>
  <c r="G112" i="3"/>
  <c r="G408" i="3"/>
  <c r="G593" i="3"/>
  <c r="G823" i="3"/>
  <c r="G853" i="3"/>
  <c r="G1055" i="3"/>
  <c r="G60" i="3"/>
  <c r="G132" i="3"/>
  <c r="G252" i="3"/>
  <c r="G319" i="3"/>
  <c r="G374" i="3"/>
  <c r="G413" i="3"/>
  <c r="G36" i="3"/>
  <c r="G56" i="3"/>
  <c r="G110" i="3"/>
  <c r="G201" i="3"/>
  <c r="G276" i="3"/>
  <c r="G293" i="3"/>
  <c r="G306" i="3"/>
  <c r="G354" i="3"/>
  <c r="G351" i="3" s="1"/>
  <c r="G360" i="3"/>
  <c r="G404" i="3"/>
  <c r="G459" i="3"/>
  <c r="G512" i="3"/>
  <c r="G536" i="3"/>
  <c r="G654" i="3"/>
  <c r="G665" i="3"/>
  <c r="G922" i="3"/>
  <c r="G961" i="3"/>
  <c r="G38" i="3"/>
  <c r="G164" i="3"/>
  <c r="G196" i="3"/>
  <c r="G204" i="3"/>
  <c r="G278" i="3"/>
  <c r="G370" i="3"/>
  <c r="G435" i="3"/>
  <c r="G66" i="3"/>
  <c r="G130" i="3"/>
  <c r="G152" i="3"/>
  <c r="G178" i="3"/>
  <c r="G220" i="3"/>
  <c r="G271" i="3"/>
  <c r="G301" i="3"/>
  <c r="G328" i="3"/>
  <c r="G472" i="3"/>
  <c r="G640" i="3"/>
  <c r="G741" i="3"/>
  <c r="G759" i="3"/>
  <c r="G809" i="3"/>
  <c r="G819" i="3"/>
  <c r="G829" i="3"/>
  <c r="G892" i="3"/>
  <c r="G889" i="3" s="1"/>
  <c r="G982" i="3"/>
  <c r="G988" i="3"/>
  <c r="G1059" i="3"/>
  <c r="G316" i="3"/>
  <c r="G444" i="3"/>
  <c r="G456" i="3"/>
  <c r="G496" i="3"/>
  <c r="G516" i="3"/>
  <c r="G538" i="3"/>
  <c r="G556" i="3"/>
  <c r="G599" i="3"/>
  <c r="G650" i="3"/>
  <c r="G657" i="3"/>
  <c r="G677" i="3"/>
  <c r="G719" i="3"/>
  <c r="G807" i="3"/>
  <c r="G815" i="3"/>
  <c r="G857" i="3"/>
  <c r="G863" i="3"/>
  <c r="G873" i="3"/>
  <c r="G910" i="3"/>
  <c r="G948" i="3"/>
  <c r="G967" i="3"/>
  <c r="G1028" i="3"/>
  <c r="G757" i="3"/>
  <c r="G781" i="3"/>
  <c r="G813" i="3"/>
  <c r="G851" i="3"/>
  <c r="G896" i="3"/>
  <c r="G1039" i="3"/>
  <c r="G879" i="3"/>
  <c r="G297" i="3" l="1"/>
  <c r="H340" i="4"/>
  <c r="H339" i="4" s="1"/>
  <c r="H338" i="4" s="1"/>
  <c r="H211" i="4" s="1"/>
  <c r="H27" i="4"/>
  <c r="H26" i="4" s="1"/>
  <c r="H25" i="4" s="1"/>
  <c r="H903" i="5"/>
  <c r="H598" i="5"/>
  <c r="H552" i="5"/>
  <c r="H794" i="5"/>
  <c r="H915" i="5"/>
  <c r="H601" i="5"/>
  <c r="H302" i="5"/>
  <c r="H984" i="5"/>
  <c r="H985" i="5"/>
  <c r="H977" i="5"/>
  <c r="H976" i="5"/>
  <c r="H307" i="5"/>
  <c r="H183" i="5"/>
  <c r="H185" i="5"/>
  <c r="H935" i="5"/>
  <c r="H131" i="5"/>
  <c r="H133" i="5"/>
  <c r="H593" i="5"/>
  <c r="H319" i="5"/>
  <c r="H376" i="5"/>
  <c r="H374" i="5"/>
  <c r="H173" i="5"/>
  <c r="H435" i="5"/>
  <c r="H473" i="5"/>
  <c r="H577" i="5"/>
  <c r="H487" i="5"/>
  <c r="H919" i="4"/>
  <c r="G519" i="3"/>
  <c r="G518" i="3" s="1"/>
  <c r="H204" i="5"/>
  <c r="H281" i="5"/>
  <c r="H266" i="5"/>
  <c r="H32" i="6"/>
  <c r="H639" i="5"/>
  <c r="H394" i="5"/>
  <c r="H528" i="5"/>
  <c r="H242" i="5"/>
  <c r="H240" i="5"/>
  <c r="H126" i="5"/>
  <c r="H63" i="5"/>
  <c r="H953" i="5"/>
  <c r="H382" i="5"/>
  <c r="H260" i="5"/>
  <c r="H997" i="5"/>
  <c r="H71" i="5"/>
  <c r="H655" i="5"/>
  <c r="H60" i="5"/>
  <c r="H58" i="5"/>
  <c r="H186" i="5"/>
  <c r="H141" i="5"/>
  <c r="H514" i="5"/>
  <c r="H961" i="5"/>
  <c r="H172" i="5"/>
  <c r="H170" i="5"/>
  <c r="H118" i="5"/>
  <c r="H116" i="5"/>
  <c r="H677" i="5"/>
  <c r="H105" i="5"/>
  <c r="H718" i="5"/>
  <c r="H968" i="5"/>
  <c r="H969" i="5"/>
  <c r="H210" i="5"/>
  <c r="H161" i="5"/>
  <c r="H163" i="5"/>
  <c r="H614" i="5"/>
  <c r="H20" i="5"/>
  <c r="H567" i="5"/>
  <c r="H584" i="5"/>
  <c r="H338" i="5"/>
  <c r="H779" i="5"/>
  <c r="H941" i="5"/>
  <c r="H521" i="5"/>
  <c r="H588" i="5"/>
  <c r="H454" i="5"/>
  <c r="H227" i="5"/>
  <c r="H420" i="5"/>
  <c r="H712" i="5"/>
  <c r="H419" i="5"/>
  <c r="H417" i="5"/>
  <c r="H790" i="5"/>
  <c r="H122" i="5"/>
  <c r="H120" i="5"/>
  <c r="H540" i="5"/>
  <c r="H503" i="5"/>
  <c r="H36" i="5"/>
  <c r="H863" i="5"/>
  <c r="H628" i="5"/>
  <c r="H778" i="5"/>
  <c r="H776" i="5"/>
  <c r="H772" i="5" s="1"/>
  <c r="I12" i="5"/>
  <c r="I14" i="5"/>
  <c r="I13" i="5" s="1"/>
  <c r="H850" i="5"/>
  <c r="H852" i="5"/>
  <c r="H145" i="5"/>
  <c r="H178" i="5"/>
  <c r="H813" i="5"/>
  <c r="H869" i="5"/>
  <c r="H25" i="6"/>
  <c r="H231" i="5"/>
  <c r="H856" i="5"/>
  <c r="H447" i="5"/>
  <c r="H445" i="5"/>
  <c r="H360" i="5"/>
  <c r="H97" i="5"/>
  <c r="H137" i="5"/>
  <c r="H14" i="6"/>
  <c r="H40" i="5"/>
  <c r="H552" i="4"/>
  <c r="H541" i="4" s="1"/>
  <c r="H941" i="4"/>
  <c r="H940" i="4" s="1"/>
  <c r="H1153" i="4"/>
  <c r="H1024" i="4"/>
  <c r="H913" i="4"/>
  <c r="H1037" i="4"/>
  <c r="H899" i="4"/>
  <c r="H1129" i="4"/>
  <c r="H957" i="4"/>
  <c r="H1141" i="4"/>
  <c r="H1098" i="4"/>
  <c r="H1071" i="4"/>
  <c r="H1051" i="4"/>
  <c r="H918" i="4"/>
  <c r="H1137" i="4"/>
  <c r="H1113" i="4"/>
  <c r="H933" i="4"/>
  <c r="H989" i="4"/>
  <c r="H1076" i="4"/>
  <c r="H1019" i="4"/>
  <c r="H904" i="4"/>
  <c r="G888" i="3"/>
  <c r="G515" i="3"/>
  <c r="G455" i="3"/>
  <c r="G1054" i="3"/>
  <c r="G971" i="3"/>
  <c r="G691" i="3"/>
  <c r="G661" i="3"/>
  <c r="G552" i="3"/>
  <c r="G842" i="3"/>
  <c r="G618" i="3"/>
  <c r="G560" i="3"/>
  <c r="G98" i="3"/>
  <c r="G639" i="3"/>
  <c r="G270" i="3"/>
  <c r="G151" i="3"/>
  <c r="G780" i="3"/>
  <c r="G1027" i="3"/>
  <c r="G966" i="3"/>
  <c r="G495" i="3"/>
  <c r="G443" i="3"/>
  <c r="G315" i="3"/>
  <c r="G177" i="3"/>
  <c r="G129" i="3"/>
  <c r="G203" i="3"/>
  <c r="G163" i="3"/>
  <c r="G921" i="3"/>
  <c r="G822" i="3"/>
  <c r="G440" i="3"/>
  <c r="G1065" i="3"/>
  <c r="G868" i="3"/>
  <c r="G595" i="3"/>
  <c r="G884" i="3"/>
  <c r="G878" i="3" s="1"/>
  <c r="G524" i="3"/>
  <c r="G225" i="3"/>
  <c r="G186" i="3"/>
  <c r="G909" i="3"/>
  <c r="G649" i="3"/>
  <c r="G555" i="3"/>
  <c r="G828" i="3"/>
  <c r="G740" i="3"/>
  <c r="G736" i="3" s="1"/>
  <c r="G664" i="3"/>
  <c r="G535" i="3"/>
  <c r="G359" i="3"/>
  <c r="G350" i="3" s="1"/>
  <c r="G407" i="3"/>
  <c r="G700" i="3"/>
  <c r="G259" i="3"/>
  <c r="G812" i="3"/>
  <c r="G872" i="3"/>
  <c r="G718" i="3"/>
  <c r="G327" i="3"/>
  <c r="G323" i="3" s="1"/>
  <c r="G219" i="3"/>
  <c r="G195" i="3"/>
  <c r="G653" i="3"/>
  <c r="G458" i="3"/>
  <c r="G305" i="3"/>
  <c r="G412" i="3"/>
  <c r="G592" i="3"/>
  <c r="G1006" i="3"/>
  <c r="G312" i="3"/>
  <c r="G101" i="3"/>
  <c r="G936" i="3"/>
  <c r="G860" i="3"/>
  <c r="G796" i="3"/>
  <c r="G585" i="3"/>
  <c r="G1061" i="3"/>
  <c r="G500" i="3"/>
  <c r="G212" i="3"/>
  <c r="G417" i="3"/>
  <c r="G850" i="3"/>
  <c r="G947" i="3"/>
  <c r="G656" i="3"/>
  <c r="G598" i="3"/>
  <c r="G981" i="3"/>
  <c r="G818" i="3"/>
  <c r="G63" i="3"/>
  <c r="G960" i="3"/>
  <c r="G511" i="3"/>
  <c r="G403" i="3"/>
  <c r="G292" i="3"/>
  <c r="G200" i="3"/>
  <c r="G318" i="3"/>
  <c r="G846" i="3"/>
  <c r="G709" i="3"/>
  <c r="G373" i="3"/>
  <c r="G137" i="3"/>
  <c r="G825" i="3"/>
  <c r="G365" i="3"/>
  <c r="G750" i="3"/>
  <c r="G746" i="3" s="1"/>
  <c r="G451" i="3"/>
  <c r="H13" i="6" l="1"/>
  <c r="H812" i="5"/>
  <c r="H502" i="5"/>
  <c r="H119" i="5"/>
  <c r="H975" i="5"/>
  <c r="H247" i="5"/>
  <c r="H638" i="5"/>
  <c r="H373" i="5"/>
  <c r="H991" i="5"/>
  <c r="H297" i="5"/>
  <c r="H849" i="5"/>
  <c r="H35" i="5"/>
  <c r="H587" i="5"/>
  <c r="H381" i="5"/>
  <c r="H239" i="5"/>
  <c r="H265" i="5"/>
  <c r="H306" i="5"/>
  <c r="H312" i="5"/>
  <c r="H767" i="5"/>
  <c r="H766" i="5" s="1"/>
  <c r="H862" i="5"/>
  <c r="H416" i="5"/>
  <c r="H711" i="5"/>
  <c r="H520" i="5"/>
  <c r="H566" i="5"/>
  <c r="H564" i="5"/>
  <c r="H115" i="5"/>
  <c r="H169" i="5"/>
  <c r="H960" i="5"/>
  <c r="H280" i="5"/>
  <c r="H472" i="5"/>
  <c r="H130" i="5"/>
  <c r="H123" i="5" s="1"/>
  <c r="H789" i="5"/>
  <c r="H581" i="5"/>
  <c r="H583" i="5"/>
  <c r="H19" i="5"/>
  <c r="H104" i="5"/>
  <c r="H103" i="5"/>
  <c r="H527" i="5"/>
  <c r="H203" i="5"/>
  <c r="H205" i="5"/>
  <c r="H983" i="5"/>
  <c r="H914" i="5"/>
  <c r="H96" i="5"/>
  <c r="H95" i="5"/>
  <c r="H855" i="5"/>
  <c r="H453" i="5"/>
  <c r="H676" i="5"/>
  <c r="H674" i="5"/>
  <c r="H513" i="5"/>
  <c r="H996" i="5"/>
  <c r="H574" i="5"/>
  <c r="H318" i="5"/>
  <c r="H551" i="5"/>
  <c r="H134" i="5"/>
  <c r="H136" i="5"/>
  <c r="H868" i="5"/>
  <c r="H539" i="5"/>
  <c r="H160" i="5"/>
  <c r="H57" i="5"/>
  <c r="H654" i="5"/>
  <c r="H69" i="5"/>
  <c r="H70" i="5"/>
  <c r="H62" i="5"/>
  <c r="H392" i="5"/>
  <c r="H393" i="5"/>
  <c r="H31" i="6"/>
  <c r="H182" i="5"/>
  <c r="H600" i="5"/>
  <c r="H1112" i="4"/>
  <c r="H1133" i="4"/>
  <c r="H1070" i="4"/>
  <c r="H1140" i="4"/>
  <c r="H1123" i="4"/>
  <c r="H1033" i="4"/>
  <c r="H939" i="4"/>
  <c r="H1018" i="4"/>
  <c r="H1097" i="4"/>
  <c r="H956" i="4"/>
  <c r="H1152" i="4"/>
  <c r="H1075" i="4"/>
  <c r="H932" i="4"/>
  <c r="H1047" i="4"/>
  <c r="H887" i="4"/>
  <c r="H912" i="4"/>
  <c r="G322" i="3"/>
  <c r="G416" i="3"/>
  <c r="G811" i="3"/>
  <c r="G224" i="3"/>
  <c r="G507" i="3"/>
  <c r="G1064" i="3"/>
  <c r="G128" i="3"/>
  <c r="G559" i="3"/>
  <c r="G660" i="3"/>
  <c r="G821" i="3"/>
  <c r="G845" i="3"/>
  <c r="G817" i="3"/>
  <c r="G856" i="3"/>
  <c r="G411" i="3"/>
  <c r="G218" i="3"/>
  <c r="G645" i="3"/>
  <c r="G877" i="3"/>
  <c r="G454" i="3"/>
  <c r="G735" i="3"/>
  <c r="G364" i="3"/>
  <c r="G349" i="3" s="1"/>
  <c r="G199" i="3"/>
  <c r="G499" i="3"/>
  <c r="G578" i="3"/>
  <c r="G97" i="3"/>
  <c r="G1005" i="3"/>
  <c r="G652" i="3"/>
  <c r="G867" i="3"/>
  <c r="G176" i="3"/>
  <c r="G175" i="3" s="1"/>
  <c r="G291" i="3"/>
  <c r="G849" i="3"/>
  <c r="G935" i="3"/>
  <c r="G311" i="3"/>
  <c r="G258" i="3"/>
  <c r="G406" i="3"/>
  <c r="G708" i="3"/>
  <c r="G402" i="3"/>
  <c r="G959" i="3"/>
  <c r="G946" i="3"/>
  <c r="G304" i="3"/>
  <c r="G871" i="3"/>
  <c r="G908" i="3"/>
  <c r="G920" i="3"/>
  <c r="G965" i="3"/>
  <c r="G841" i="3"/>
  <c r="G551" i="3"/>
  <c r="G690" i="3"/>
  <c r="G1053" i="3"/>
  <c r="G887" i="3"/>
  <c r="H125" i="5" l="1"/>
  <c r="H124" i="5" s="1"/>
  <c r="H56" i="5"/>
  <c r="H54" i="5"/>
  <c r="H471" i="5"/>
  <c r="H599" i="5"/>
  <c r="H854" i="5"/>
  <c r="H168" i="5"/>
  <c r="H526" i="5"/>
  <c r="H861" i="5"/>
  <c r="H43" i="6"/>
  <c r="H76" i="5"/>
  <c r="H177" i="5"/>
  <c r="H135" i="5"/>
  <c r="H550" i="5"/>
  <c r="H675" i="5"/>
  <c r="H452" i="5"/>
  <c r="H102" i="5"/>
  <c r="H902" i="5"/>
  <c r="H202" i="5"/>
  <c r="H110" i="5"/>
  <c r="H11" i="5"/>
  <c r="H788" i="5"/>
  <c r="H967" i="5"/>
  <c r="H114" i="5"/>
  <c r="H415" i="5"/>
  <c r="H765" i="5"/>
  <c r="H387" i="5"/>
  <c r="H34" i="5"/>
  <c r="H811" i="5"/>
  <c r="H582" i="5"/>
  <c r="H710" i="5"/>
  <c r="H61" i="5"/>
  <c r="H538" i="5"/>
  <c r="H848" i="5"/>
  <c r="H653" i="5"/>
  <c r="H867" i="5"/>
  <c r="H576" i="5"/>
  <c r="H995" i="5"/>
  <c r="H565" i="5"/>
  <c r="H296" i="5"/>
  <c r="H372" i="5"/>
  <c r="H1046" i="4"/>
  <c r="H1122" i="4"/>
  <c r="H1069" i="4"/>
  <c r="H1111" i="4"/>
  <c r="H911" i="4"/>
  <c r="H1151" i="4"/>
  <c r="H1087" i="4"/>
  <c r="H886" i="4"/>
  <c r="H1032" i="4"/>
  <c r="H1132" i="4"/>
  <c r="G223" i="3"/>
  <c r="G919" i="3"/>
  <c r="G907" i="3"/>
  <c r="G198" i="3"/>
  <c r="G659" i="3"/>
  <c r="G498" i="3"/>
  <c r="G127" i="3"/>
  <c r="G296" i="3"/>
  <c r="G945" i="3"/>
  <c r="G290" i="3"/>
  <c r="G410" i="3"/>
  <c r="G558" i="3"/>
  <c r="G1052" i="3"/>
  <c r="G958" i="3"/>
  <c r="G866" i="3"/>
  <c r="G217" i="3"/>
  <c r="H994" i="5" l="1"/>
  <c r="H549" i="5"/>
  <c r="H853" i="5"/>
  <c r="H371" i="5"/>
  <c r="H575" i="5"/>
  <c r="H860" i="5"/>
  <c r="H810" i="5"/>
  <c r="H33" i="5"/>
  <c r="H414" i="5"/>
  <c r="H68" i="5"/>
  <c r="H113" i="5"/>
  <c r="H787" i="5"/>
  <c r="H451" i="5"/>
  <c r="H55" i="5"/>
  <c r="H847" i="5"/>
  <c r="H295" i="5"/>
  <c r="H470" i="5"/>
  <c r="H1074" i="4"/>
  <c r="H1031" i="4"/>
  <c r="H885" i="4"/>
  <c r="H1121" i="4"/>
  <c r="E44" i="2"/>
  <c r="G222" i="3"/>
  <c r="G295" i="3"/>
  <c r="G126" i="3"/>
  <c r="G1051" i="3"/>
  <c r="G906" i="3"/>
  <c r="H846" i="5" l="1"/>
  <c r="H764" i="5"/>
  <c r="H413" i="5"/>
  <c r="H412" i="5"/>
  <c r="H370" i="5"/>
  <c r="H112" i="5"/>
  <c r="H264" i="5"/>
  <c r="H993" i="5"/>
  <c r="H1120" i="4"/>
  <c r="H1023" i="4"/>
  <c r="G1050" i="3"/>
  <c r="E50" i="2"/>
  <c r="E42" i="2"/>
  <c r="E16" i="2"/>
  <c r="H111" i="5" l="1"/>
  <c r="H992" i="5"/>
  <c r="H938" i="4"/>
  <c r="H1119" i="4"/>
  <c r="E49" i="2"/>
  <c r="H884" i="4" l="1"/>
  <c r="H1162" i="4" s="1"/>
  <c r="D134" i="1" l="1"/>
  <c r="D116" i="1"/>
  <c r="D53" i="1"/>
  <c r="E165" i="1"/>
  <c r="E164" i="1"/>
  <c r="E159" i="1"/>
  <c r="E151" i="1"/>
  <c r="E149" i="1"/>
  <c r="E147" i="1"/>
  <c r="E145" i="1"/>
  <c r="E144" i="1"/>
  <c r="E143" i="1"/>
  <c r="E142" i="1"/>
  <c r="E141" i="1"/>
  <c r="E140" i="1"/>
  <c r="E139" i="1"/>
  <c r="E138" i="1"/>
  <c r="E137" i="1"/>
  <c r="E136" i="1"/>
  <c r="E135" i="1"/>
  <c r="E133" i="1"/>
  <c r="E132" i="1"/>
  <c r="E131" i="1"/>
  <c r="E130" i="1"/>
  <c r="E129" i="1"/>
  <c r="E128" i="1"/>
  <c r="E123" i="1"/>
  <c r="E121" i="1"/>
  <c r="E120" i="1"/>
  <c r="E117" i="1"/>
  <c r="E115" i="1"/>
  <c r="E113" i="1"/>
  <c r="E112" i="1"/>
  <c r="E111" i="1"/>
  <c r="E108" i="1"/>
  <c r="E106" i="1"/>
  <c r="E104" i="1"/>
  <c r="E102" i="1"/>
  <c r="E100" i="1"/>
  <c r="E98" i="1"/>
  <c r="E96" i="1"/>
  <c r="E91" i="1"/>
  <c r="E71" i="1"/>
  <c r="E69" i="1"/>
  <c r="E67" i="1"/>
  <c r="E63" i="1"/>
  <c r="E61" i="1"/>
  <c r="E48" i="1"/>
  <c r="E46" i="1"/>
  <c r="E42" i="1"/>
  <c r="E39" i="1"/>
  <c r="E37" i="1"/>
  <c r="E34" i="1"/>
  <c r="E31" i="1"/>
  <c r="E29" i="1"/>
  <c r="E27" i="1"/>
  <c r="E21" i="1"/>
  <c r="E20" i="1"/>
  <c r="E19" i="1"/>
  <c r="E16" i="1"/>
  <c r="E15" i="1"/>
  <c r="E14" i="1"/>
  <c r="E13" i="1"/>
  <c r="D162" i="1" l="1"/>
  <c r="D158" i="1"/>
  <c r="D157" i="1"/>
  <c r="D150" i="1"/>
  <c r="D148" i="1"/>
  <c r="D146" i="1"/>
  <c r="D127" i="1"/>
  <c r="D110" i="1"/>
  <c r="D107" i="1"/>
  <c r="D105" i="1"/>
  <c r="D103" i="1"/>
  <c r="D101" i="1"/>
  <c r="D99" i="1"/>
  <c r="D97" i="1"/>
  <c r="D95" i="1"/>
  <c r="D92" i="1"/>
  <c r="D73" i="1"/>
  <c r="D70" i="1"/>
  <c r="D68" i="1"/>
  <c r="D66" i="1"/>
  <c r="D62" i="1"/>
  <c r="D60" i="1"/>
  <c r="D57" i="1"/>
  <c r="D56" i="1"/>
  <c r="D50" i="1"/>
  <c r="D47" i="1"/>
  <c r="D45" i="1"/>
  <c r="D41" i="1"/>
  <c r="D38" i="1"/>
  <c r="D36" i="1"/>
  <c r="D33" i="1"/>
  <c r="D30" i="1"/>
  <c r="D28" i="1"/>
  <c r="D26" i="1"/>
  <c r="D24" i="1"/>
  <c r="D18" i="1"/>
  <c r="D12" i="1"/>
  <c r="D44" i="1" l="1"/>
  <c r="D43" i="1" s="1"/>
  <c r="D65" i="1"/>
  <c r="D35" i="1"/>
  <c r="D72" i="1"/>
  <c r="D11" i="1"/>
  <c r="D161" i="1"/>
  <c r="D154" i="1"/>
  <c r="D153" i="1" s="1"/>
  <c r="D126" i="1"/>
  <c r="D109" i="1"/>
  <c r="D94" i="1"/>
  <c r="D89" i="1"/>
  <c r="D88" i="1" s="1"/>
  <c r="D59" i="1"/>
  <c r="D49" i="1"/>
  <c r="D40" i="1"/>
  <c r="D32" i="1"/>
  <c r="D23" i="1"/>
  <c r="D17" i="1"/>
  <c r="F422" i="3"/>
  <c r="H422" i="3" s="1"/>
  <c r="G1028" i="4"/>
  <c r="I1028" i="4" s="1"/>
  <c r="G1029" i="4"/>
  <c r="I1029" i="4" s="1"/>
  <c r="F421" i="3" l="1"/>
  <c r="H421" i="3" s="1"/>
  <c r="D160" i="1"/>
  <c r="D152" i="1"/>
  <c r="D125" i="1"/>
  <c r="D87" i="1" s="1"/>
  <c r="D86" i="1" s="1"/>
  <c r="D64" i="1"/>
  <c r="D22" i="1"/>
  <c r="D10" i="1" s="1"/>
  <c r="G669" i="4"/>
  <c r="I669" i="4" s="1"/>
  <c r="D168" i="1" l="1"/>
  <c r="G1073" i="4"/>
  <c r="I1073" i="4" s="1"/>
  <c r="G1053" i="4"/>
  <c r="I1053" i="4" s="1"/>
  <c r="G1039" i="4"/>
  <c r="I1039" i="4" s="1"/>
  <c r="G969" i="4"/>
  <c r="I969" i="4" s="1"/>
  <c r="G961" i="4"/>
  <c r="I961" i="4" s="1"/>
  <c r="G1102" i="4"/>
  <c r="I1102" i="4" s="1"/>
  <c r="G390" i="5"/>
  <c r="F658" i="3"/>
  <c r="G706" i="4"/>
  <c r="G389" i="5" l="1"/>
  <c r="I390" i="5"/>
  <c r="G705" i="4"/>
  <c r="I705" i="4" s="1"/>
  <c r="I706" i="4"/>
  <c r="F657" i="3"/>
  <c r="H658" i="3"/>
  <c r="G34" i="4"/>
  <c r="I34" i="4" s="1"/>
  <c r="G388" i="5" l="1"/>
  <c r="I389" i="5"/>
  <c r="F656" i="3"/>
  <c r="H656" i="3" s="1"/>
  <c r="H657" i="3"/>
  <c r="C58" i="1"/>
  <c r="E58" i="1" s="1"/>
  <c r="G391" i="5" l="1"/>
  <c r="I391" i="5" s="1"/>
  <c r="I388" i="5"/>
  <c r="D20" i="7"/>
  <c r="E54" i="2"/>
  <c r="C158" i="1"/>
  <c r="E158" i="1" s="1"/>
  <c r="C55" i="1" l="1"/>
  <c r="E55" i="1" s="1"/>
  <c r="C54" i="1"/>
  <c r="E54" i="1" s="1"/>
  <c r="C52" i="1"/>
  <c r="E52" i="1" s="1"/>
  <c r="C51" i="1"/>
  <c r="E51" i="1" s="1"/>
  <c r="F311" i="14" l="1"/>
  <c r="F310" i="14" s="1"/>
  <c r="G567" i="14"/>
  <c r="G566" i="14" s="1"/>
  <c r="G565" i="14" s="1"/>
  <c r="F567" i="14"/>
  <c r="F566" i="14" s="1"/>
  <c r="F565" i="14" s="1"/>
  <c r="G185" i="15"/>
  <c r="G184" i="15" s="1"/>
  <c r="H217" i="16"/>
  <c r="H216" i="16" s="1"/>
  <c r="H215" i="16" s="1"/>
  <c r="H218" i="16" s="1"/>
  <c r="G217" i="16"/>
  <c r="G216" i="16" s="1"/>
  <c r="G215" i="16" s="1"/>
  <c r="G218" i="16" s="1"/>
  <c r="H633" i="15"/>
  <c r="H632" i="15" s="1"/>
  <c r="C138" i="12"/>
  <c r="G633" i="15"/>
  <c r="G632" i="15" s="1"/>
  <c r="G221" i="5"/>
  <c r="G220" i="5" l="1"/>
  <c r="I221" i="5"/>
  <c r="G883" i="4"/>
  <c r="I883" i="4" s="1"/>
  <c r="G881" i="4"/>
  <c r="I881" i="4" s="1"/>
  <c r="G219" i="5" l="1"/>
  <c r="I220" i="5"/>
  <c r="G434" i="4"/>
  <c r="I434" i="4" s="1"/>
  <c r="G432" i="4"/>
  <c r="I432" i="4" s="1"/>
  <c r="G379" i="4"/>
  <c r="I379" i="4" s="1"/>
  <c r="G377" i="4"/>
  <c r="I377" i="4" s="1"/>
  <c r="G222" i="5" l="1"/>
  <c r="I222" i="5" s="1"/>
  <c r="I219" i="5"/>
  <c r="G1139" i="4"/>
  <c r="I1139" i="4" s="1"/>
  <c r="C118" i="1"/>
  <c r="E118" i="1" s="1"/>
  <c r="F566" i="3"/>
  <c r="H566" i="3" s="1"/>
  <c r="F591" i="3"/>
  <c r="G639" i="4"/>
  <c r="F347" i="3"/>
  <c r="G954" i="4"/>
  <c r="F156" i="3"/>
  <c r="G902" i="4"/>
  <c r="G901" i="4" l="1"/>
  <c r="I902" i="4"/>
  <c r="G638" i="4"/>
  <c r="I638" i="4" s="1"/>
  <c r="I639" i="4"/>
  <c r="G953" i="4"/>
  <c r="I953" i="4" s="1"/>
  <c r="I954" i="4"/>
  <c r="F346" i="3"/>
  <c r="H347" i="3"/>
  <c r="F155" i="3"/>
  <c r="H156" i="3"/>
  <c r="F590" i="3"/>
  <c r="H591" i="3"/>
  <c r="G516" i="4"/>
  <c r="I516" i="4" s="1"/>
  <c r="G154" i="4"/>
  <c r="I154" i="4" s="1"/>
  <c r="G109" i="4"/>
  <c r="I109" i="4" s="1"/>
  <c r="G41" i="4"/>
  <c r="I41" i="4" s="1"/>
  <c r="G1055" i="4"/>
  <c r="I1055" i="4" s="1"/>
  <c r="G1100" i="4"/>
  <c r="I1100" i="4" s="1"/>
  <c r="G900" i="4" l="1"/>
  <c r="I901" i="4"/>
  <c r="F154" i="3"/>
  <c r="H154" i="3" s="1"/>
  <c r="H155" i="3"/>
  <c r="F589" i="3"/>
  <c r="H589" i="3" s="1"/>
  <c r="H590" i="3"/>
  <c r="F345" i="3"/>
  <c r="H345" i="3" s="1"/>
  <c r="H346" i="3"/>
  <c r="G875" i="4"/>
  <c r="I875" i="4" s="1"/>
  <c r="G863" i="4"/>
  <c r="I863" i="4" s="1"/>
  <c r="G1079" i="4"/>
  <c r="I1079" i="4" s="1"/>
  <c r="G1118" i="4"/>
  <c r="I1118" i="4" s="1"/>
  <c r="G896" i="4"/>
  <c r="I896" i="4" s="1"/>
  <c r="G899" i="4" l="1"/>
  <c r="I899" i="4" s="1"/>
  <c r="I900" i="4"/>
  <c r="G783" i="4"/>
  <c r="I783" i="4" s="1"/>
  <c r="G781" i="4"/>
  <c r="I781" i="4" s="1"/>
  <c r="G491" i="4" l="1"/>
  <c r="I491" i="4" s="1"/>
  <c r="G481" i="4"/>
  <c r="I481" i="4" s="1"/>
  <c r="G898" i="4" l="1"/>
  <c r="I898" i="4" s="1"/>
  <c r="G894" i="4"/>
  <c r="I894" i="4" s="1"/>
  <c r="G629" i="14" l="1"/>
  <c r="G628" i="14" s="1"/>
  <c r="G627" i="14" s="1"/>
  <c r="G626" i="14" s="1"/>
  <c r="F629" i="14"/>
  <c r="F628" i="14" s="1"/>
  <c r="F627" i="14" s="1"/>
  <c r="F626" i="14" s="1"/>
  <c r="G695" i="15"/>
  <c r="G694" i="15" s="1"/>
  <c r="H246" i="16" l="1"/>
  <c r="H245" i="16" s="1"/>
  <c r="H244" i="16" s="1"/>
  <c r="H247" i="16" s="1"/>
  <c r="G645" i="14"/>
  <c r="G644" i="14" s="1"/>
  <c r="G643" i="14" s="1"/>
  <c r="H711" i="15"/>
  <c r="H710" i="15" s="1"/>
  <c r="G712" i="15"/>
  <c r="G711" i="15" s="1"/>
  <c r="G710" i="15" s="1"/>
  <c r="H221" i="16"/>
  <c r="H220" i="16" s="1"/>
  <c r="H219" i="16" s="1"/>
  <c r="H222" i="16" s="1"/>
  <c r="G221" i="16"/>
  <c r="G220" i="16" s="1"/>
  <c r="G219" i="16" s="1"/>
  <c r="G222" i="16" s="1"/>
  <c r="G570" i="14"/>
  <c r="G569" i="14" s="1"/>
  <c r="G568" i="14" s="1"/>
  <c r="F570" i="14"/>
  <c r="F569" i="14" s="1"/>
  <c r="F568" i="14" s="1"/>
  <c r="H636" i="15"/>
  <c r="H635" i="15" s="1"/>
  <c r="G636" i="15"/>
  <c r="G635" i="15" s="1"/>
  <c r="H196" i="16"/>
  <c r="H195" i="16" s="1"/>
  <c r="H194" i="16" s="1"/>
  <c r="G196" i="16"/>
  <c r="G195" i="16" s="1"/>
  <c r="G194" i="16" s="1"/>
  <c r="G197" i="16" s="1"/>
  <c r="H492" i="14"/>
  <c r="H491" i="14" s="1"/>
  <c r="I492" i="14"/>
  <c r="I491" i="14" s="1"/>
  <c r="J492" i="14"/>
  <c r="J491" i="14" s="1"/>
  <c r="K492" i="14"/>
  <c r="K491" i="14" s="1"/>
  <c r="G493" i="14"/>
  <c r="G492" i="14" s="1"/>
  <c r="G491" i="14" s="1"/>
  <c r="F493" i="14"/>
  <c r="F492" i="14" s="1"/>
  <c r="F491" i="14" s="1"/>
  <c r="H559" i="15"/>
  <c r="H558" i="15" s="1"/>
  <c r="G559" i="15"/>
  <c r="G558" i="15" s="1"/>
  <c r="H606" i="16"/>
  <c r="H605" i="16" s="1"/>
  <c r="H604" i="16" s="1"/>
  <c r="H607" i="16" s="1"/>
  <c r="G606" i="16"/>
  <c r="G605" i="16" s="1"/>
  <c r="G604" i="16" s="1"/>
  <c r="G607" i="16" s="1"/>
  <c r="G822" i="14"/>
  <c r="G821" i="14" s="1"/>
  <c r="G820" i="14" s="1"/>
  <c r="F822" i="14"/>
  <c r="F821" i="14" s="1"/>
  <c r="F820" i="14" s="1"/>
  <c r="H397" i="15"/>
  <c r="H396" i="15" s="1"/>
  <c r="I397" i="15"/>
  <c r="I396" i="15" s="1"/>
  <c r="J397" i="15"/>
  <c r="J396" i="15" s="1"/>
  <c r="K397" i="15"/>
  <c r="K396" i="15" s="1"/>
  <c r="G397" i="15"/>
  <c r="G396" i="15" s="1"/>
  <c r="H659" i="16"/>
  <c r="H658" i="16" s="1"/>
  <c r="H657" i="16" s="1"/>
  <c r="H660" i="16" s="1"/>
  <c r="G659" i="16"/>
  <c r="G658" i="16" s="1"/>
  <c r="G657" i="16" s="1"/>
  <c r="G660" i="16" s="1"/>
  <c r="G691" i="14"/>
  <c r="G690" i="14" s="1"/>
  <c r="G689" i="14" s="1"/>
  <c r="F691" i="14"/>
  <c r="F690" i="14" s="1"/>
  <c r="F689" i="14" s="1"/>
  <c r="G315" i="15"/>
  <c r="H305" i="15"/>
  <c r="H304" i="15" s="1"/>
  <c r="G305" i="15"/>
  <c r="G304" i="15" s="1"/>
  <c r="G643" i="5"/>
  <c r="F859" i="3"/>
  <c r="F824" i="3"/>
  <c r="G397" i="4"/>
  <c r="G404" i="4"/>
  <c r="I404" i="4" s="1"/>
  <c r="G362" i="4"/>
  <c r="G366" i="4"/>
  <c r="I366" i="4" s="1"/>
  <c r="G518" i="5"/>
  <c r="I518" i="5" s="1"/>
  <c r="G349" i="4"/>
  <c r="I349" i="4" s="1"/>
  <c r="G347" i="4"/>
  <c r="I347" i="4" s="1"/>
  <c r="G345" i="4"/>
  <c r="I345" i="4" s="1"/>
  <c r="G283" i="4"/>
  <c r="I283" i="4" s="1"/>
  <c r="G281" i="4"/>
  <c r="I281" i="4" s="1"/>
  <c r="G868" i="4"/>
  <c r="I868" i="4" s="1"/>
  <c r="G870" i="4"/>
  <c r="I870" i="4" s="1"/>
  <c r="G361" i="4" l="1"/>
  <c r="I361" i="4" s="1"/>
  <c r="I362" i="4"/>
  <c r="G642" i="5"/>
  <c r="I643" i="5"/>
  <c r="G396" i="4"/>
  <c r="I396" i="4" s="1"/>
  <c r="I397" i="4"/>
  <c r="G586" i="5"/>
  <c r="H824" i="3"/>
  <c r="F858" i="3"/>
  <c r="H859" i="3"/>
  <c r="F645" i="14"/>
  <c r="F644" i="14" s="1"/>
  <c r="F643" i="14" s="1"/>
  <c r="G246" i="16"/>
  <c r="G245" i="16" s="1"/>
  <c r="G244" i="16" s="1"/>
  <c r="G247" i="16" s="1"/>
  <c r="F823" i="3"/>
  <c r="H197" i="16"/>
  <c r="I353" i="15"/>
  <c r="J353" i="15"/>
  <c r="K353" i="15"/>
  <c r="G355" i="15"/>
  <c r="G585" i="5" l="1"/>
  <c r="I586" i="5"/>
  <c r="G641" i="5"/>
  <c r="I642" i="5"/>
  <c r="F822" i="3"/>
  <c r="H822" i="3" s="1"/>
  <c r="H823" i="3"/>
  <c r="F857" i="3"/>
  <c r="H857" i="3" s="1"/>
  <c r="H858" i="3"/>
  <c r="C13" i="12"/>
  <c r="D130" i="12"/>
  <c r="D131" i="12"/>
  <c r="D129" i="12"/>
  <c r="D139" i="12"/>
  <c r="G644" i="5" l="1"/>
  <c r="I644" i="5" s="1"/>
  <c r="I641" i="5"/>
  <c r="G584" i="5"/>
  <c r="I585" i="5"/>
  <c r="F369" i="14"/>
  <c r="F368" i="14" s="1"/>
  <c r="F367" i="14" s="1"/>
  <c r="F322" i="14"/>
  <c r="F321" i="14" s="1"/>
  <c r="F320" i="14" s="1"/>
  <c r="G596" i="14"/>
  <c r="G595" i="14" s="1"/>
  <c r="G594" i="14" s="1"/>
  <c r="F596" i="14"/>
  <c r="F595" i="14" s="1"/>
  <c r="F594" i="14" s="1"/>
  <c r="H951" i="15"/>
  <c r="H950" i="15" s="1"/>
  <c r="G951" i="15"/>
  <c r="G950" i="15" s="1"/>
  <c r="G943" i="15"/>
  <c r="G942" i="15" s="1"/>
  <c r="G896" i="15"/>
  <c r="G895" i="15" s="1"/>
  <c r="H662" i="15"/>
  <c r="H661" i="15" s="1"/>
  <c r="G662" i="15"/>
  <c r="G661" i="15" s="1"/>
  <c r="G587" i="5" l="1"/>
  <c r="I587" i="5" s="1"/>
  <c r="I584" i="5"/>
  <c r="G29" i="15"/>
  <c r="F1001" i="3" l="1"/>
  <c r="G834" i="4"/>
  <c r="F67" i="3"/>
  <c r="G51" i="4"/>
  <c r="I51" i="4" s="1"/>
  <c r="G52" i="4"/>
  <c r="I52" i="4" s="1"/>
  <c r="G370" i="15"/>
  <c r="G250" i="5"/>
  <c r="G200" i="5"/>
  <c r="G225" i="5"/>
  <c r="G696" i="5"/>
  <c r="F725" i="3"/>
  <c r="G312" i="4"/>
  <c r="I312" i="4" s="1"/>
  <c r="G302" i="4"/>
  <c r="F517" i="3"/>
  <c r="F679" i="3"/>
  <c r="G737" i="4"/>
  <c r="I737" i="4" s="1"/>
  <c r="G727" i="4"/>
  <c r="G578" i="4"/>
  <c r="I578" i="4" s="1"/>
  <c r="G565" i="4"/>
  <c r="F594" i="3"/>
  <c r="G658" i="4"/>
  <c r="I658" i="4" s="1"/>
  <c r="G642" i="4"/>
  <c r="G199" i="5" l="1"/>
  <c r="I200" i="5"/>
  <c r="G564" i="4"/>
  <c r="I564" i="4" s="1"/>
  <c r="I565" i="4"/>
  <c r="G249" i="5"/>
  <c r="I250" i="5"/>
  <c r="G641" i="4"/>
  <c r="I641" i="4" s="1"/>
  <c r="I642" i="4"/>
  <c r="G695" i="5"/>
  <c r="I696" i="5"/>
  <c r="G833" i="4"/>
  <c r="I833" i="4" s="1"/>
  <c r="I834" i="4"/>
  <c r="G726" i="4"/>
  <c r="I726" i="4" s="1"/>
  <c r="I727" i="4"/>
  <c r="G301" i="4"/>
  <c r="I301" i="4" s="1"/>
  <c r="I302" i="4"/>
  <c r="G224" i="5"/>
  <c r="I225" i="5"/>
  <c r="F678" i="3"/>
  <c r="H679" i="3"/>
  <c r="F724" i="3"/>
  <c r="H725" i="3"/>
  <c r="F66" i="3"/>
  <c r="H66" i="3" s="1"/>
  <c r="H67" i="3"/>
  <c r="F516" i="3"/>
  <c r="H517" i="3"/>
  <c r="F593" i="3"/>
  <c r="H594" i="3"/>
  <c r="F1000" i="3"/>
  <c r="H1001" i="3"/>
  <c r="G223" i="5" l="1"/>
  <c r="I224" i="5"/>
  <c r="G694" i="5"/>
  <c r="I695" i="5"/>
  <c r="G248" i="5"/>
  <c r="I249" i="5"/>
  <c r="G198" i="5"/>
  <c r="I199" i="5"/>
  <c r="F999" i="3"/>
  <c r="H999" i="3" s="1"/>
  <c r="H1000" i="3"/>
  <c r="F515" i="3"/>
  <c r="H515" i="3" s="1"/>
  <c r="H516" i="3"/>
  <c r="F723" i="3"/>
  <c r="H723" i="3" s="1"/>
  <c r="H724" i="3"/>
  <c r="F592" i="3"/>
  <c r="H592" i="3" s="1"/>
  <c r="H593" i="3"/>
  <c r="F677" i="3"/>
  <c r="H677" i="3" s="1"/>
  <c r="H678" i="3"/>
  <c r="G380" i="5"/>
  <c r="F651" i="3"/>
  <c r="G697" i="4"/>
  <c r="I697" i="4" s="1"/>
  <c r="G679" i="4"/>
  <c r="I679" i="4" s="1"/>
  <c r="G699" i="4"/>
  <c r="G698" i="4" l="1"/>
  <c r="I698" i="4" s="1"/>
  <c r="I699" i="4"/>
  <c r="G379" i="5"/>
  <c r="I380" i="5"/>
  <c r="G201" i="5"/>
  <c r="I201" i="5" s="1"/>
  <c r="I198" i="5"/>
  <c r="G697" i="5"/>
  <c r="I697" i="5" s="1"/>
  <c r="I694" i="5"/>
  <c r="I248" i="5"/>
  <c r="G251" i="5"/>
  <c r="I251" i="5" s="1"/>
  <c r="G226" i="5"/>
  <c r="I226" i="5" s="1"/>
  <c r="I223" i="5"/>
  <c r="F650" i="3"/>
  <c r="H651" i="3"/>
  <c r="G1136" i="4"/>
  <c r="I1136" i="4" s="1"/>
  <c r="G79" i="4"/>
  <c r="I79" i="4" s="1"/>
  <c r="G378" i="5" l="1"/>
  <c r="I379" i="5"/>
  <c r="F649" i="3"/>
  <c r="H649" i="3" s="1"/>
  <c r="H650" i="3"/>
  <c r="G262" i="4"/>
  <c r="I262" i="4" s="1"/>
  <c r="G536" i="5"/>
  <c r="G532" i="5"/>
  <c r="G562" i="4"/>
  <c r="I562" i="4" s="1"/>
  <c r="G811" i="4"/>
  <c r="I811" i="4" s="1"/>
  <c r="F294" i="3"/>
  <c r="G936" i="4"/>
  <c r="G717" i="4"/>
  <c r="I717" i="4" s="1"/>
  <c r="F483" i="3"/>
  <c r="G1090" i="4"/>
  <c r="I1090" i="4" s="1"/>
  <c r="G935" i="4" l="1"/>
  <c r="I936" i="4"/>
  <c r="G531" i="5"/>
  <c r="I532" i="5"/>
  <c r="G535" i="5"/>
  <c r="I536" i="5"/>
  <c r="G377" i="5"/>
  <c r="I377" i="5" s="1"/>
  <c r="I378" i="5"/>
  <c r="F482" i="3"/>
  <c r="H482" i="3" s="1"/>
  <c r="H483" i="3"/>
  <c r="F293" i="3"/>
  <c r="H294" i="3"/>
  <c r="G1045" i="4"/>
  <c r="I1045" i="4" s="1"/>
  <c r="G1086" i="4"/>
  <c r="I1086" i="4" s="1"/>
  <c r="F355" i="3"/>
  <c r="G962" i="4"/>
  <c r="I962" i="4" s="1"/>
  <c r="G944" i="4"/>
  <c r="I944" i="4" s="1"/>
  <c r="G1022" i="4"/>
  <c r="I1022" i="4" s="1"/>
  <c r="G1105" i="4"/>
  <c r="I1105" i="4" s="1"/>
  <c r="G891" i="4"/>
  <c r="I891" i="4" s="1"/>
  <c r="G814" i="4"/>
  <c r="I814" i="4" s="1"/>
  <c r="G808" i="4"/>
  <c r="I808" i="4" s="1"/>
  <c r="G831" i="4"/>
  <c r="I831" i="4" s="1"/>
  <c r="G559" i="4"/>
  <c r="I559" i="4" s="1"/>
  <c r="G633" i="4"/>
  <c r="I633" i="4" s="1"/>
  <c r="G414" i="4"/>
  <c r="I414" i="4" s="1"/>
  <c r="G317" i="4"/>
  <c r="I317" i="4" s="1"/>
  <c r="G375" i="4"/>
  <c r="I375" i="4" s="1"/>
  <c r="G355" i="4"/>
  <c r="I355" i="4" s="1"/>
  <c r="G530" i="5" l="1"/>
  <c r="I531" i="5"/>
  <c r="G534" i="5"/>
  <c r="I535" i="5"/>
  <c r="G934" i="4"/>
  <c r="I935" i="4"/>
  <c r="F292" i="3"/>
  <c r="H293" i="3"/>
  <c r="F354" i="3"/>
  <c r="H354" i="3" s="1"/>
  <c r="H355" i="3"/>
  <c r="F1014" i="3"/>
  <c r="F1011" i="3"/>
  <c r="F1010" i="3" l="1"/>
  <c r="H1010" i="3" s="1"/>
  <c r="H1011" i="3"/>
  <c r="F1013" i="3"/>
  <c r="H1013" i="3" s="1"/>
  <c r="H1014" i="3"/>
  <c r="G537" i="5"/>
  <c r="I537" i="5" s="1"/>
  <c r="I534" i="5"/>
  <c r="G933" i="4"/>
  <c r="I934" i="4"/>
  <c r="I530" i="5"/>
  <c r="G529" i="5"/>
  <c r="G533" i="5"/>
  <c r="I533" i="5" s="1"/>
  <c r="F291" i="3"/>
  <c r="H292" i="3"/>
  <c r="G848" i="4"/>
  <c r="G845" i="4"/>
  <c r="C124" i="1"/>
  <c r="E124" i="1" s="1"/>
  <c r="G847" i="4" l="1"/>
  <c r="I847" i="4" s="1"/>
  <c r="I848" i="4"/>
  <c r="G932" i="4"/>
  <c r="I932" i="4" s="1"/>
  <c r="I933" i="4"/>
  <c r="F1009" i="3"/>
  <c r="H1009" i="3" s="1"/>
  <c r="G528" i="5"/>
  <c r="I529" i="5"/>
  <c r="G844" i="4"/>
  <c r="I844" i="4" s="1"/>
  <c r="I845" i="4"/>
  <c r="F290" i="3"/>
  <c r="H290" i="3" s="1"/>
  <c r="H291" i="3"/>
  <c r="G843" i="4"/>
  <c r="I843" i="4" s="1"/>
  <c r="F968" i="3"/>
  <c r="G801" i="4"/>
  <c r="G800" i="4" l="1"/>
  <c r="I801" i="4"/>
  <c r="G527" i="5"/>
  <c r="I527" i="5" s="1"/>
  <c r="I528" i="5"/>
  <c r="F967" i="3"/>
  <c r="H968" i="3"/>
  <c r="C119" i="1"/>
  <c r="E119" i="1" s="1"/>
  <c r="C157" i="1"/>
  <c r="E157" i="1" s="1"/>
  <c r="C155" i="1"/>
  <c r="E155" i="1" s="1"/>
  <c r="C156" i="1"/>
  <c r="E156" i="1" s="1"/>
  <c r="G799" i="4" l="1"/>
  <c r="I799" i="4" s="1"/>
  <c r="I800" i="4"/>
  <c r="F966" i="3"/>
  <c r="H967" i="3"/>
  <c r="C154" i="1"/>
  <c r="C114" i="1"/>
  <c r="E114" i="1" s="1"/>
  <c r="F965" i="3" l="1"/>
  <c r="H965" i="3" s="1"/>
  <c r="H966" i="3"/>
  <c r="C153" i="1"/>
  <c r="E153" i="1" s="1"/>
  <c r="E154" i="1"/>
  <c r="G630" i="4"/>
  <c r="I630" i="4" s="1"/>
  <c r="F347" i="14" l="1"/>
  <c r="F346" i="14" s="1"/>
  <c r="F345" i="14" s="1"/>
  <c r="F349" i="14"/>
  <c r="F348" i="14" s="1"/>
  <c r="G921" i="15"/>
  <c r="G383" i="15" l="1"/>
  <c r="G219" i="4" l="1"/>
  <c r="I219" i="4" s="1"/>
  <c r="G636" i="4" l="1"/>
  <c r="I636" i="4" s="1"/>
  <c r="F336" i="14" l="1"/>
  <c r="F335" i="14" s="1"/>
  <c r="G910" i="15"/>
  <c r="F358" i="3" l="1"/>
  <c r="H358" i="3" s="1"/>
  <c r="G964" i="4"/>
  <c r="I964" i="4" s="1"/>
  <c r="H265" i="15" l="1"/>
  <c r="H1013" i="15"/>
  <c r="D101" i="12"/>
  <c r="D128" i="12"/>
  <c r="G842" i="4" l="1"/>
  <c r="G525" i="5" l="1"/>
  <c r="I842" i="4"/>
  <c r="F1008" i="3"/>
  <c r="G841" i="4"/>
  <c r="C95" i="1"/>
  <c r="E95" i="1" s="1"/>
  <c r="G524" i="15"/>
  <c r="H524" i="15" s="1"/>
  <c r="G840" i="4" l="1"/>
  <c r="I841" i="4"/>
  <c r="G524" i="5"/>
  <c r="I525" i="5"/>
  <c r="F1007" i="3"/>
  <c r="H1008" i="3"/>
  <c r="G430" i="4"/>
  <c r="I430" i="4" s="1"/>
  <c r="G523" i="5" l="1"/>
  <c r="I524" i="5"/>
  <c r="G839" i="4"/>
  <c r="I839" i="4" s="1"/>
  <c r="I840" i="4"/>
  <c r="F1006" i="3"/>
  <c r="H1007" i="3"/>
  <c r="G420" i="4"/>
  <c r="I420" i="4" s="1"/>
  <c r="G522" i="5" l="1"/>
  <c r="I523" i="5"/>
  <c r="F1005" i="3"/>
  <c r="H1005" i="3" s="1"/>
  <c r="H1006" i="3"/>
  <c r="F949" i="3"/>
  <c r="H949" i="3" s="1"/>
  <c r="G1126" i="4"/>
  <c r="I1126" i="4" s="1"/>
  <c r="G1156" i="4"/>
  <c r="I1156" i="4" s="1"/>
  <c r="G521" i="5" l="1"/>
  <c r="I522" i="5"/>
  <c r="G370" i="4"/>
  <c r="I370" i="4" s="1"/>
  <c r="G1104" i="15"/>
  <c r="G1101" i="15"/>
  <c r="G1099" i="15"/>
  <c r="G1090" i="15"/>
  <c r="G1088" i="15"/>
  <c r="G1082" i="15"/>
  <c r="G1071" i="15"/>
  <c r="G1069" i="15"/>
  <c r="G1061" i="15"/>
  <c r="G1048" i="15"/>
  <c r="G1045" i="15"/>
  <c r="G1043" i="15"/>
  <c r="G1036" i="15"/>
  <c r="G1031" i="15"/>
  <c r="G1028" i="15"/>
  <c r="G1026" i="15"/>
  <c r="G1024" i="15"/>
  <c r="G1018" i="15"/>
  <c r="G1013" i="15"/>
  <c r="G1006" i="15"/>
  <c r="G1003" i="15"/>
  <c r="G1000" i="15"/>
  <c r="G998" i="15"/>
  <c r="G995" i="15"/>
  <c r="G990" i="15"/>
  <c r="G984" i="15"/>
  <c r="G981" i="15"/>
  <c r="G975" i="15"/>
  <c r="G916" i="15"/>
  <c r="G905" i="15"/>
  <c r="G902" i="15"/>
  <c r="G878" i="15"/>
  <c r="G871" i="15"/>
  <c r="G864" i="15"/>
  <c r="G862" i="15"/>
  <c r="G860" i="15"/>
  <c r="G857" i="15"/>
  <c r="G849" i="15"/>
  <c r="G847" i="15"/>
  <c r="G841" i="15"/>
  <c r="G838" i="15"/>
  <c r="G836" i="15"/>
  <c r="G829" i="15"/>
  <c r="G826" i="15"/>
  <c r="G820" i="15"/>
  <c r="G815" i="15"/>
  <c r="G811" i="15"/>
  <c r="G804" i="15"/>
  <c r="G794" i="15"/>
  <c r="G791" i="15"/>
  <c r="G788" i="15"/>
  <c r="G780" i="15"/>
  <c r="G772" i="15"/>
  <c r="G769" i="15"/>
  <c r="G767" i="15"/>
  <c r="G765" i="15"/>
  <c r="G761" i="15"/>
  <c r="G756" i="15"/>
  <c r="G753" i="15"/>
  <c r="G751" i="15"/>
  <c r="G742" i="15"/>
  <c r="G735" i="15"/>
  <c r="G730" i="15"/>
  <c r="G718" i="15"/>
  <c r="G715" i="15"/>
  <c r="G708" i="15"/>
  <c r="G701" i="15"/>
  <c r="G691" i="15"/>
  <c r="G687" i="15"/>
  <c r="G680" i="15"/>
  <c r="G677" i="15"/>
  <c r="G670" i="15"/>
  <c r="G666" i="15"/>
  <c r="G649" i="15"/>
  <c r="G646" i="15"/>
  <c r="G643" i="15"/>
  <c r="G640" i="15"/>
  <c r="G630" i="15"/>
  <c r="G627" i="15"/>
  <c r="G624" i="15"/>
  <c r="G617" i="15"/>
  <c r="G612" i="15"/>
  <c r="G600" i="15"/>
  <c r="G597" i="15"/>
  <c r="G593" i="15"/>
  <c r="G590" i="15"/>
  <c r="G583" i="15"/>
  <c r="G569" i="15"/>
  <c r="G566" i="15"/>
  <c r="G563" i="15"/>
  <c r="G556" i="15"/>
  <c r="G553" i="15"/>
  <c r="G542" i="15"/>
  <c r="G534" i="15"/>
  <c r="G531" i="15"/>
  <c r="G516" i="15"/>
  <c r="G510" i="15"/>
  <c r="G506" i="15"/>
  <c r="G503" i="15"/>
  <c r="G501" i="15"/>
  <c r="G499" i="15"/>
  <c r="G491" i="15"/>
  <c r="G486" i="15"/>
  <c r="G483" i="15"/>
  <c r="G481" i="15"/>
  <c r="G472" i="15"/>
  <c r="G467" i="15"/>
  <c r="G465" i="15"/>
  <c r="G461" i="15"/>
  <c r="G456" i="15"/>
  <c r="G443" i="15"/>
  <c r="G437" i="15"/>
  <c r="G434" i="15"/>
  <c r="G432" i="15"/>
  <c r="G430" i="15"/>
  <c r="G425" i="15"/>
  <c r="G420" i="15"/>
  <c r="G414" i="15"/>
  <c r="G401" i="15"/>
  <c r="G394" i="15"/>
  <c r="G391" i="15"/>
  <c r="G387" i="15"/>
  <c r="G379" i="15"/>
  <c r="G377" i="15"/>
  <c r="G375" i="15"/>
  <c r="G366" i="15"/>
  <c r="G362" i="15"/>
  <c r="G358" i="15"/>
  <c r="G352" i="15"/>
  <c r="G350" i="15"/>
  <c r="G348" i="15"/>
  <c r="G340" i="15"/>
  <c r="G336" i="15"/>
  <c r="G334" i="15"/>
  <c r="G327" i="15"/>
  <c r="G320" i="15"/>
  <c r="G896" i="16" s="1"/>
  <c r="G312" i="15"/>
  <c r="G309" i="15"/>
  <c r="G302" i="15"/>
  <c r="G296" i="15"/>
  <c r="G292" i="15"/>
  <c r="G288" i="15"/>
  <c r="G286" i="15"/>
  <c r="G284" i="15"/>
  <c r="G276" i="15"/>
  <c r="G265" i="15"/>
  <c r="F296" i="14" s="1"/>
  <c r="F295" i="14" s="1"/>
  <c r="F294" i="14" s="1"/>
  <c r="G262" i="15"/>
  <c r="G41" i="15"/>
  <c r="G247" i="15"/>
  <c r="G242" i="15"/>
  <c r="G236" i="15"/>
  <c r="G233" i="15"/>
  <c r="G222" i="15"/>
  <c r="G213" i="15"/>
  <c r="G211" i="15"/>
  <c r="G202" i="15"/>
  <c r="G201" i="15" s="1"/>
  <c r="G196" i="15"/>
  <c r="G173" i="15"/>
  <c r="G169" i="15"/>
  <c r="G166" i="15"/>
  <c r="G159" i="15"/>
  <c r="G156" i="15"/>
  <c r="G154" i="15"/>
  <c r="G150" i="15"/>
  <c r="G147" i="15"/>
  <c r="G123" i="15"/>
  <c r="G114" i="15"/>
  <c r="G111" i="15"/>
  <c r="G109" i="15"/>
  <c r="G95" i="15"/>
  <c r="G92" i="15"/>
  <c r="G83" i="15"/>
  <c r="G79" i="15"/>
  <c r="G77" i="15"/>
  <c r="G73" i="15"/>
  <c r="G68" i="15"/>
  <c r="G66" i="15"/>
  <c r="G63" i="15"/>
  <c r="G61" i="15"/>
  <c r="G56" i="15"/>
  <c r="G49" i="15"/>
  <c r="G46" i="15"/>
  <c r="G45" i="15" s="1"/>
  <c r="G44" i="15" s="1"/>
  <c r="G43" i="15"/>
  <c r="G39" i="15"/>
  <c r="G37" i="15"/>
  <c r="G23" i="15"/>
  <c r="G18" i="15"/>
  <c r="G16" i="15"/>
  <c r="G520" i="5" l="1"/>
  <c r="I521" i="5"/>
  <c r="G704" i="4"/>
  <c r="I704" i="4" s="1"/>
  <c r="G1131" i="4"/>
  <c r="I1131" i="4" s="1"/>
  <c r="G534" i="4"/>
  <c r="I534" i="4" s="1"/>
  <c r="G166" i="4"/>
  <c r="I166" i="4" s="1"/>
  <c r="G173" i="4"/>
  <c r="I173" i="4" s="1"/>
  <c r="G24" i="5"/>
  <c r="F277" i="3"/>
  <c r="G929" i="4"/>
  <c r="I929" i="4" s="1"/>
  <c r="G926" i="4"/>
  <c r="I926" i="4" s="1"/>
  <c r="G860" i="4"/>
  <c r="I860" i="4" s="1"/>
  <c r="G32" i="4"/>
  <c r="I32" i="4" s="1"/>
  <c r="G499" i="4"/>
  <c r="I499" i="4" s="1"/>
  <c r="G767" i="4"/>
  <c r="I767" i="4" s="1"/>
  <c r="G17" i="4"/>
  <c r="I17" i="4" s="1"/>
  <c r="G777" i="4"/>
  <c r="I777" i="4" s="1"/>
  <c r="G526" i="5" l="1"/>
  <c r="I526" i="5" s="1"/>
  <c r="I520" i="5"/>
  <c r="G23" i="5"/>
  <c r="I23" i="5" s="1"/>
  <c r="I24" i="5"/>
  <c r="F276" i="3"/>
  <c r="H276" i="3" s="1"/>
  <c r="H277" i="3"/>
  <c r="G1145" i="4"/>
  <c r="I1145" i="4" s="1"/>
  <c r="G92" i="4"/>
  <c r="I92" i="4" s="1"/>
  <c r="G36" i="4"/>
  <c r="I36" i="4" s="1"/>
  <c r="G210" i="4"/>
  <c r="I210" i="4" s="1"/>
  <c r="G208" i="4"/>
  <c r="I208" i="4" s="1"/>
  <c r="G68" i="4"/>
  <c r="I68" i="4" s="1"/>
  <c r="G66" i="4"/>
  <c r="I66" i="4" s="1"/>
  <c r="G481" i="5" l="1"/>
  <c r="I481" i="5" s="1"/>
  <c r="G485" i="5"/>
  <c r="I485" i="5" s="1"/>
  <c r="F980" i="3"/>
  <c r="H980" i="3" s="1"/>
  <c r="F977" i="3"/>
  <c r="H977" i="3" s="1"/>
  <c r="F587" i="3"/>
  <c r="H587" i="3" s="1"/>
  <c r="F584" i="3"/>
  <c r="H584" i="3" s="1"/>
  <c r="F513" i="3"/>
  <c r="H513" i="3" s="1"/>
  <c r="H556" i="15"/>
  <c r="H555" i="15" s="1"/>
  <c r="H554" i="15" s="1"/>
  <c r="G635" i="4"/>
  <c r="G632" i="4"/>
  <c r="G561" i="4"/>
  <c r="G813" i="4"/>
  <c r="G810" i="4"/>
  <c r="G560" i="4" l="1"/>
  <c r="I560" i="4" s="1"/>
  <c r="I561" i="4"/>
  <c r="G631" i="4"/>
  <c r="I631" i="4" s="1"/>
  <c r="I632" i="4"/>
  <c r="G809" i="4"/>
  <c r="I809" i="4" s="1"/>
  <c r="I810" i="4"/>
  <c r="G634" i="4"/>
  <c r="I634" i="4" s="1"/>
  <c r="I635" i="4"/>
  <c r="G812" i="4"/>
  <c r="I812" i="4" s="1"/>
  <c r="I813" i="4"/>
  <c r="F489" i="14"/>
  <c r="G171" i="16"/>
  <c r="G489" i="14"/>
  <c r="H171" i="16"/>
  <c r="G555" i="15"/>
  <c r="G554" i="15" s="1"/>
  <c r="G572" i="4" l="1"/>
  <c r="I572" i="4" s="1"/>
  <c r="G734" i="4"/>
  <c r="I734" i="4" s="1"/>
  <c r="G652" i="4"/>
  <c r="I652" i="4" s="1"/>
  <c r="G649" i="4"/>
  <c r="I649" i="4" s="1"/>
  <c r="G731" i="4"/>
  <c r="I731" i="4" s="1"/>
  <c r="G569" i="4"/>
  <c r="I569" i="4" s="1"/>
  <c r="G309" i="4"/>
  <c r="I309" i="4" s="1"/>
  <c r="F999" i="14" l="1"/>
  <c r="F998" i="14" s="1"/>
  <c r="G951" i="14"/>
  <c r="G950" i="14"/>
  <c r="G949" i="14"/>
  <c r="G944" i="14"/>
  <c r="G943" i="14"/>
  <c r="G942" i="14"/>
  <c r="G941" i="14"/>
  <c r="G940" i="14"/>
  <c r="G939" i="14"/>
  <c r="G910" i="14"/>
  <c r="G909" i="14" s="1"/>
  <c r="G908" i="14" s="1"/>
  <c r="F910" i="14"/>
  <c r="F909" i="14" s="1"/>
  <c r="F908" i="14" s="1"/>
  <c r="F881" i="14"/>
  <c r="G846" i="14"/>
  <c r="G845" i="14"/>
  <c r="G794" i="14"/>
  <c r="G793" i="14" s="1"/>
  <c r="G792" i="14" s="1"/>
  <c r="F794" i="14"/>
  <c r="F793" i="14" s="1"/>
  <c r="F792" i="14" s="1"/>
  <c r="G780" i="14"/>
  <c r="G779" i="14"/>
  <c r="F737" i="14"/>
  <c r="F736" i="14" s="1"/>
  <c r="F735" i="14" s="1"/>
  <c r="G617" i="14"/>
  <c r="G616" i="14"/>
  <c r="G615" i="14"/>
  <c r="G606" i="14"/>
  <c r="G605" i="14" s="1"/>
  <c r="G604" i="14" s="1"/>
  <c r="G411" i="14"/>
  <c r="F280" i="14"/>
  <c r="F279" i="14" s="1"/>
  <c r="F278" i="14"/>
  <c r="F277" i="14" s="1"/>
  <c r="G214" i="14"/>
  <c r="F214" i="14"/>
  <c r="F209" i="14"/>
  <c r="G187" i="14"/>
  <c r="G186" i="14"/>
  <c r="G185" i="14"/>
  <c r="G175" i="14"/>
  <c r="G174" i="14"/>
  <c r="G173" i="14"/>
  <c r="H939" i="15"/>
  <c r="H938" i="15" s="1"/>
  <c r="H887" i="15"/>
  <c r="H886" i="15" s="1"/>
  <c r="G887" i="15"/>
  <c r="G886" i="15" s="1"/>
  <c r="G744" i="15"/>
  <c r="G743" i="15" s="1"/>
  <c r="H672" i="15"/>
  <c r="H671" i="15" s="1"/>
  <c r="G672" i="15"/>
  <c r="G671" i="15" s="1"/>
  <c r="H608" i="15"/>
  <c r="H607" i="15" s="1"/>
  <c r="G608" i="15"/>
  <c r="G607" i="15" s="1"/>
  <c r="G498" i="15"/>
  <c r="G478" i="15"/>
  <c r="G450" i="15"/>
  <c r="G369" i="15"/>
  <c r="H118" i="15"/>
  <c r="H117" i="15" s="1"/>
  <c r="H116" i="15" s="1"/>
  <c r="G118" i="15"/>
  <c r="G117" i="15" s="1"/>
  <c r="G116" i="15" s="1"/>
  <c r="G52" i="15"/>
  <c r="G51" i="15" s="1"/>
  <c r="G28" i="15"/>
  <c r="F276" i="14" l="1"/>
  <c r="C12" i="1" l="1"/>
  <c r="C11" i="1" l="1"/>
  <c r="E11" i="1" s="1"/>
  <c r="E12" i="1"/>
  <c r="G1128" i="4"/>
  <c r="I1128" i="4" s="1"/>
  <c r="G65" i="14" l="1"/>
  <c r="G64" i="14" s="1"/>
  <c r="F65" i="14"/>
  <c r="F64" i="14" s="1"/>
  <c r="F606" i="14"/>
  <c r="F605" i="14" s="1"/>
  <c r="F604" i="14" s="1"/>
  <c r="G791" i="14"/>
  <c r="G537" i="14"/>
  <c r="G536" i="14" s="1"/>
  <c r="G535" i="14" s="1"/>
  <c r="F537" i="14"/>
  <c r="F536" i="14" s="1"/>
  <c r="F535" i="14" s="1"/>
  <c r="H560" i="16"/>
  <c r="H559" i="16" s="1"/>
  <c r="H558" i="16" s="1"/>
  <c r="H557" i="16" s="1"/>
  <c r="H556" i="16" s="1"/>
  <c r="H555" i="16" s="1"/>
  <c r="H561" i="16" s="1"/>
  <c r="G560" i="16"/>
  <c r="G559" i="16" s="1"/>
  <c r="G558" i="16" s="1"/>
  <c r="G557" i="16" s="1"/>
  <c r="G556" i="16" s="1"/>
  <c r="G555" i="16" s="1"/>
  <c r="G561" i="16" s="1"/>
  <c r="H369" i="15"/>
  <c r="H368" i="15" s="1"/>
  <c r="H367" i="15" s="1"/>
  <c r="G368" i="15"/>
  <c r="G367" i="15" s="1"/>
  <c r="G60" i="14"/>
  <c r="G59" i="14" s="1"/>
  <c r="G58" i="14" s="1"/>
  <c r="F60" i="14"/>
  <c r="F59" i="14" s="1"/>
  <c r="F58" i="14" s="1"/>
  <c r="F791" i="14" l="1"/>
  <c r="H307" i="16"/>
  <c r="H306" i="16" s="1"/>
  <c r="H305" i="16" s="1"/>
  <c r="G307" i="16"/>
  <c r="G306" i="16" s="1"/>
  <c r="G305" i="16" s="1"/>
  <c r="H453" i="16"/>
  <c r="H452" i="16" s="1"/>
  <c r="H451" i="16" s="1"/>
  <c r="H454" i="16" s="1"/>
  <c r="G453" i="16"/>
  <c r="G452" i="16" s="1"/>
  <c r="G451" i="16" s="1"/>
  <c r="G454" i="16" s="1"/>
  <c r="H204" i="15"/>
  <c r="H203" i="15" s="1"/>
  <c r="G204" i="15"/>
  <c r="G203" i="15" s="1"/>
  <c r="H308" i="16" l="1"/>
  <c r="G308" i="16"/>
  <c r="F540" i="14"/>
  <c r="F539" i="14" s="1"/>
  <c r="F538" i="14" s="1"/>
  <c r="F534" i="14" s="1"/>
  <c r="G509" i="15"/>
  <c r="H52" i="15"/>
  <c r="H51" i="15" s="1"/>
  <c r="G597" i="5"/>
  <c r="G386" i="5"/>
  <c r="G311" i="5"/>
  <c r="G315" i="5"/>
  <c r="G310" i="5" l="1"/>
  <c r="I311" i="5"/>
  <c r="G385" i="5"/>
  <c r="I386" i="5"/>
  <c r="G596" i="5"/>
  <c r="I597" i="5"/>
  <c r="G314" i="5"/>
  <c r="I315" i="5"/>
  <c r="G611" i="15"/>
  <c r="G610" i="15" s="1"/>
  <c r="G606" i="15" s="1"/>
  <c r="H510" i="15"/>
  <c r="F78" i="14"/>
  <c r="F77" i="14" s="1"/>
  <c r="F76" i="14" s="1"/>
  <c r="H612" i="15"/>
  <c r="G540" i="14" s="1"/>
  <c r="G539" i="14" s="1"/>
  <c r="G538" i="14" s="1"/>
  <c r="G534" i="14" s="1"/>
  <c r="G311" i="16"/>
  <c r="G310" i="16" s="1"/>
  <c r="G309" i="16" s="1"/>
  <c r="G304" i="16" s="1"/>
  <c r="G303" i="16" s="1"/>
  <c r="G302" i="16" s="1"/>
  <c r="G508" i="15"/>
  <c r="G507" i="15" s="1"/>
  <c r="F655" i="3"/>
  <c r="F568" i="3"/>
  <c r="F565" i="3"/>
  <c r="F948" i="3"/>
  <c r="F831" i="3"/>
  <c r="F65" i="3"/>
  <c r="F85" i="3"/>
  <c r="G313" i="5" l="1"/>
  <c r="I314" i="5"/>
  <c r="G384" i="5"/>
  <c r="I385" i="5"/>
  <c r="G595" i="5"/>
  <c r="I596" i="5"/>
  <c r="G309" i="5"/>
  <c r="I310" i="5"/>
  <c r="F567" i="3"/>
  <c r="H567" i="3" s="1"/>
  <c r="H568" i="3"/>
  <c r="F64" i="3"/>
  <c r="H65" i="3"/>
  <c r="F830" i="3"/>
  <c r="H831" i="3"/>
  <c r="F654" i="3"/>
  <c r="H655" i="3"/>
  <c r="F947" i="3"/>
  <c r="H948" i="3"/>
  <c r="F84" i="3"/>
  <c r="H85" i="3"/>
  <c r="F564" i="3"/>
  <c r="H564" i="3" s="1"/>
  <c r="H565" i="3"/>
  <c r="H39" i="15"/>
  <c r="H38" i="15" s="1"/>
  <c r="G38" i="15"/>
  <c r="H509" i="15"/>
  <c r="H508" i="15" s="1"/>
  <c r="H507" i="15" s="1"/>
  <c r="G78" i="14"/>
  <c r="G77" i="14" s="1"/>
  <c r="G76" i="14" s="1"/>
  <c r="H611" i="15"/>
  <c r="H610" i="15" s="1"/>
  <c r="H606" i="15" s="1"/>
  <c r="H311" i="16"/>
  <c r="H310" i="16" s="1"/>
  <c r="H309" i="16" s="1"/>
  <c r="H304" i="16" s="1"/>
  <c r="H303" i="16" s="1"/>
  <c r="H302" i="16" s="1"/>
  <c r="G312" i="16"/>
  <c r="G50" i="4"/>
  <c r="I50" i="4" s="1"/>
  <c r="G703" i="4"/>
  <c r="G539" i="4"/>
  <c r="C146" i="1"/>
  <c r="E146" i="1" s="1"/>
  <c r="G509" i="4"/>
  <c r="G369" i="4"/>
  <c r="G609" i="4"/>
  <c r="G612" i="4"/>
  <c r="D132" i="12"/>
  <c r="C132" i="12"/>
  <c r="D92" i="12"/>
  <c r="D100" i="12"/>
  <c r="C92" i="12"/>
  <c r="C86" i="12"/>
  <c r="C84" i="12"/>
  <c r="C148" i="1"/>
  <c r="E148" i="1" s="1"/>
  <c r="C99" i="1"/>
  <c r="E99" i="1" s="1"/>
  <c r="C97" i="1"/>
  <c r="E97" i="1" s="1"/>
  <c r="C105" i="1"/>
  <c r="E105" i="1" s="1"/>
  <c r="G608" i="4" l="1"/>
  <c r="I608" i="4" s="1"/>
  <c r="I609" i="4"/>
  <c r="G538" i="4"/>
  <c r="I539" i="4"/>
  <c r="I309" i="5"/>
  <c r="G308" i="5"/>
  <c r="I384" i="5"/>
  <c r="G383" i="5"/>
  <c r="G368" i="4"/>
  <c r="I369" i="4"/>
  <c r="G702" i="4"/>
  <c r="I702" i="4" s="1"/>
  <c r="I703" i="4"/>
  <c r="G508" i="4"/>
  <c r="I509" i="4"/>
  <c r="I595" i="5"/>
  <c r="G592" i="5"/>
  <c r="G594" i="5"/>
  <c r="G316" i="5"/>
  <c r="I316" i="5" s="1"/>
  <c r="I313" i="5"/>
  <c r="G611" i="4"/>
  <c r="I611" i="4" s="1"/>
  <c r="I612" i="4"/>
  <c r="F829" i="3"/>
  <c r="H830" i="3"/>
  <c r="F563" i="3"/>
  <c r="H563" i="3" s="1"/>
  <c r="F946" i="3"/>
  <c r="H947" i="3"/>
  <c r="F83" i="3"/>
  <c r="H83" i="3" s="1"/>
  <c r="H84" i="3"/>
  <c r="F653" i="3"/>
  <c r="H654" i="3"/>
  <c r="F63" i="3"/>
  <c r="H63" i="3" s="1"/>
  <c r="H64" i="3"/>
  <c r="G49" i="4"/>
  <c r="I49" i="4" s="1"/>
  <c r="H312" i="16"/>
  <c r="G61" i="4"/>
  <c r="I61" i="4" s="1"/>
  <c r="H57" i="15"/>
  <c r="G57" i="15"/>
  <c r="I815" i="15"/>
  <c r="G451" i="4"/>
  <c r="I451" i="4" s="1"/>
  <c r="I404" i="15"/>
  <c r="H264" i="15"/>
  <c r="G607" i="4" l="1"/>
  <c r="I607" i="4" s="1"/>
  <c r="G537" i="4"/>
  <c r="I538" i="4"/>
  <c r="G307" i="5"/>
  <c r="I308" i="5"/>
  <c r="G701" i="4"/>
  <c r="I701" i="4" s="1"/>
  <c r="G593" i="5"/>
  <c r="I593" i="5" s="1"/>
  <c r="I594" i="5"/>
  <c r="G507" i="4"/>
  <c r="I507" i="4" s="1"/>
  <c r="I508" i="4"/>
  <c r="G367" i="4"/>
  <c r="I367" i="4" s="1"/>
  <c r="I368" i="4"/>
  <c r="G598" i="5"/>
  <c r="I598" i="5" s="1"/>
  <c r="I592" i="5"/>
  <c r="I383" i="5"/>
  <c r="G382" i="5"/>
  <c r="F652" i="3"/>
  <c r="H652" i="3" s="1"/>
  <c r="H653" i="3"/>
  <c r="F945" i="3"/>
  <c r="H946" i="3"/>
  <c r="F828" i="3"/>
  <c r="H828" i="3" s="1"/>
  <c r="H829" i="3"/>
  <c r="H263" i="15"/>
  <c r="G296" i="14"/>
  <c r="G295" i="14" s="1"/>
  <c r="G294" i="14" s="1"/>
  <c r="F573" i="14"/>
  <c r="F572" i="14" s="1"/>
  <c r="F571" i="14" s="1"/>
  <c r="G639" i="15"/>
  <c r="G638" i="15" s="1"/>
  <c r="G1012" i="15"/>
  <c r="G1011" i="15" s="1"/>
  <c r="F438" i="14"/>
  <c r="F437" i="14" s="1"/>
  <c r="F436" i="14" s="1"/>
  <c r="G210" i="15"/>
  <c r="F916" i="14"/>
  <c r="F915" i="14" s="1"/>
  <c r="G264" i="15"/>
  <c r="G263" i="15" s="1"/>
  <c r="C90" i="1"/>
  <c r="E90" i="1" s="1"/>
  <c r="G381" i="5" l="1"/>
  <c r="I382" i="5"/>
  <c r="I307" i="5"/>
  <c r="G312" i="5"/>
  <c r="I312" i="5" s="1"/>
  <c r="G306" i="5"/>
  <c r="I306" i="5" s="1"/>
  <c r="G536" i="4"/>
  <c r="I537" i="4"/>
  <c r="D44" i="2"/>
  <c r="F44" i="2" s="1"/>
  <c r="H945" i="3"/>
  <c r="G1216" i="4"/>
  <c r="G951" i="5"/>
  <c r="I951" i="5" s="1"/>
  <c r="D13" i="12"/>
  <c r="G881" i="14"/>
  <c r="G880" i="14" s="1"/>
  <c r="G879" i="14" s="1"/>
  <c r="F880" i="14"/>
  <c r="F879" i="14" s="1"/>
  <c r="F1060" i="3"/>
  <c r="H1060" i="3" s="1"/>
  <c r="F1063" i="3"/>
  <c r="H1063" i="3" s="1"/>
  <c r="F1068" i="3"/>
  <c r="H1068" i="3" s="1"/>
  <c r="H479" i="15"/>
  <c r="G490" i="4"/>
  <c r="G485" i="4"/>
  <c r="G482" i="4"/>
  <c r="I482" i="4" s="1"/>
  <c r="G480" i="4"/>
  <c r="I480" i="4" s="1"/>
  <c r="G479" i="4"/>
  <c r="G19" i="4"/>
  <c r="I19" i="4" s="1"/>
  <c r="G478" i="4" l="1"/>
  <c r="I478" i="4" s="1"/>
  <c r="I479" i="4"/>
  <c r="G489" i="4"/>
  <c r="I489" i="4" s="1"/>
  <c r="I490" i="4"/>
  <c r="G535" i="4"/>
  <c r="I535" i="4" s="1"/>
  <c r="I536" i="4"/>
  <c r="G387" i="5"/>
  <c r="I387" i="5" s="1"/>
  <c r="I381" i="5"/>
  <c r="G484" i="4"/>
  <c r="I484" i="4" s="1"/>
  <c r="I485" i="4"/>
  <c r="G477" i="4"/>
  <c r="G999" i="14"/>
  <c r="G998" i="14" s="1"/>
  <c r="H478" i="15"/>
  <c r="G914" i="16"/>
  <c r="F1011" i="14"/>
  <c r="F1010" i="14" s="1"/>
  <c r="F1009" i="14" s="1"/>
  <c r="H483" i="15"/>
  <c r="F1003" i="14"/>
  <c r="F1002" i="14" s="1"/>
  <c r="G482" i="15"/>
  <c r="H486" i="15"/>
  <c r="F1006" i="14"/>
  <c r="F1005" i="14" s="1"/>
  <c r="F1004" i="14" s="1"/>
  <c r="F1058" i="3"/>
  <c r="H1058" i="3" s="1"/>
  <c r="F1056" i="3"/>
  <c r="H1056" i="3" s="1"/>
  <c r="G485" i="15"/>
  <c r="G484" i="15" s="1"/>
  <c r="G490" i="15"/>
  <c r="G489" i="15" s="1"/>
  <c r="G488" i="15" s="1"/>
  <c r="H491" i="15"/>
  <c r="G1011" i="14" s="1"/>
  <c r="G1010" i="14" s="1"/>
  <c r="G1009" i="14" s="1"/>
  <c r="G488" i="4"/>
  <c r="I488" i="4" s="1"/>
  <c r="G476" i="4" l="1"/>
  <c r="I477" i="4"/>
  <c r="G487" i="4"/>
  <c r="I487" i="4" s="1"/>
  <c r="G17" i="15"/>
  <c r="F113" i="14"/>
  <c r="F112" i="14" s="1"/>
  <c r="H481" i="15"/>
  <c r="F1001" i="14"/>
  <c r="F1000" i="14" s="1"/>
  <c r="G480" i="15"/>
  <c r="G477" i="15" s="1"/>
  <c r="G476" i="15" s="1"/>
  <c r="G475" i="15" s="1"/>
  <c r="G1003" i="14"/>
  <c r="G1002" i="14" s="1"/>
  <c r="H482" i="15"/>
  <c r="H485" i="15"/>
  <c r="H484" i="15" s="1"/>
  <c r="G1006" i="14"/>
  <c r="G1005" i="14" s="1"/>
  <c r="G1004" i="14" s="1"/>
  <c r="G487" i="15"/>
  <c r="H914" i="16"/>
  <c r="H490" i="15"/>
  <c r="H489" i="15" s="1"/>
  <c r="G475" i="4" l="1"/>
  <c r="I476" i="4"/>
  <c r="G1001" i="14"/>
  <c r="G1000" i="14" s="1"/>
  <c r="H480" i="15"/>
  <c r="H477" i="15" s="1"/>
  <c r="H476" i="15" s="1"/>
  <c r="H475" i="15" s="1"/>
  <c r="G474" i="15"/>
  <c r="G473" i="15" s="1"/>
  <c r="G1135" i="15" s="1"/>
  <c r="H488" i="15"/>
  <c r="H487" i="15"/>
  <c r="G124" i="14"/>
  <c r="G123" i="14" s="1"/>
  <c r="G126" i="14"/>
  <c r="G125" i="14" s="1"/>
  <c r="F126" i="14"/>
  <c r="F125" i="14" s="1"/>
  <c r="F124" i="14"/>
  <c r="F123" i="14" s="1"/>
  <c r="F131" i="3"/>
  <c r="F133" i="3"/>
  <c r="H102" i="15"/>
  <c r="H100" i="15"/>
  <c r="G102" i="15"/>
  <c r="G100" i="15"/>
  <c r="G100" i="4"/>
  <c r="I100" i="4" s="1"/>
  <c r="G102" i="4"/>
  <c r="I102" i="4" s="1"/>
  <c r="I475" i="4" l="1"/>
  <c r="G474" i="4"/>
  <c r="F132" i="3"/>
  <c r="H132" i="3" s="1"/>
  <c r="H133" i="3"/>
  <c r="F130" i="3"/>
  <c r="H130" i="3" s="1"/>
  <c r="H131" i="3"/>
  <c r="H474" i="15"/>
  <c r="H473" i="15" s="1"/>
  <c r="H1135" i="15" s="1"/>
  <c r="G99" i="4"/>
  <c r="G99" i="15"/>
  <c r="G98" i="15" s="1"/>
  <c r="G97" i="15" s="1"/>
  <c r="G96" i="15" s="1"/>
  <c r="G122" i="14"/>
  <c r="G121" i="14" s="1"/>
  <c r="G120" i="14" s="1"/>
  <c r="G119" i="14" s="1"/>
  <c r="E16" i="13" s="1"/>
  <c r="F122" i="14"/>
  <c r="F121" i="14" s="1"/>
  <c r="F120" i="14" s="1"/>
  <c r="F119" i="14" s="1"/>
  <c r="D16" i="13" s="1"/>
  <c r="H99" i="15"/>
  <c r="H98" i="15" s="1"/>
  <c r="H97" i="15" s="1"/>
  <c r="H96" i="15" s="1"/>
  <c r="G394" i="14"/>
  <c r="G393" i="14" s="1"/>
  <c r="G392" i="14" s="1"/>
  <c r="G391" i="14" s="1"/>
  <c r="G390" i="14" s="1"/>
  <c r="F394" i="14"/>
  <c r="F393" i="14" s="1"/>
  <c r="F392" i="14" s="1"/>
  <c r="F391" i="14" s="1"/>
  <c r="F390" i="14" s="1"/>
  <c r="F414" i="3"/>
  <c r="H962" i="16"/>
  <c r="H961" i="16" s="1"/>
  <c r="H960" i="16" s="1"/>
  <c r="H959" i="16" s="1"/>
  <c r="H958" i="16" s="1"/>
  <c r="H957" i="16" s="1"/>
  <c r="H956" i="16" s="1"/>
  <c r="H955" i="16" s="1"/>
  <c r="G962" i="16"/>
  <c r="G961" i="16" s="1"/>
  <c r="G960" i="16" s="1"/>
  <c r="G959" i="16" s="1"/>
  <c r="G958" i="16" s="1"/>
  <c r="G957" i="16" s="1"/>
  <c r="G956" i="16" s="1"/>
  <c r="G955" i="16" s="1"/>
  <c r="G999" i="5"/>
  <c r="H968" i="15"/>
  <c r="H967" i="15" s="1"/>
  <c r="H966" i="15" s="1"/>
  <c r="H965" i="15" s="1"/>
  <c r="H1159" i="15" s="1"/>
  <c r="G968" i="15"/>
  <c r="G967" i="15" s="1"/>
  <c r="G966" i="15" s="1"/>
  <c r="G965" i="15" s="1"/>
  <c r="G1159" i="15" s="1"/>
  <c r="G1021" i="4"/>
  <c r="H450" i="15"/>
  <c r="H449" i="15" s="1"/>
  <c r="G449" i="15"/>
  <c r="G98" i="4" l="1"/>
  <c r="I99" i="4"/>
  <c r="G998" i="5"/>
  <c r="I999" i="5"/>
  <c r="G1020" i="4"/>
  <c r="I1021" i="4"/>
  <c r="G473" i="4"/>
  <c r="I474" i="4"/>
  <c r="F129" i="3"/>
  <c r="F128" i="3" s="1"/>
  <c r="F413" i="3"/>
  <c r="H414" i="3"/>
  <c r="G519" i="4"/>
  <c r="I519" i="4" s="1"/>
  <c r="H129" i="3" l="1"/>
  <c r="G1192" i="4"/>
  <c r="I473" i="4"/>
  <c r="G997" i="5"/>
  <c r="I998" i="5"/>
  <c r="G1019" i="4"/>
  <c r="I1020" i="4"/>
  <c r="G97" i="4"/>
  <c r="I98" i="4"/>
  <c r="F412" i="3"/>
  <c r="H413" i="3"/>
  <c r="F127" i="3"/>
  <c r="H128" i="3"/>
  <c r="G149" i="14"/>
  <c r="G148" i="14" s="1"/>
  <c r="G147" i="14" s="1"/>
  <c r="F149" i="14"/>
  <c r="F148" i="14" s="1"/>
  <c r="F147" i="14" s="1"/>
  <c r="H28" i="15"/>
  <c r="H27" i="15" s="1"/>
  <c r="H26" i="15" s="1"/>
  <c r="H25" i="15" s="1"/>
  <c r="H24" i="15" s="1"/>
  <c r="G27" i="15"/>
  <c r="G26" i="15" s="1"/>
  <c r="G25" i="15" s="1"/>
  <c r="G24" i="15" s="1"/>
  <c r="G96" i="4" l="1"/>
  <c r="I96" i="4" s="1"/>
  <c r="I97" i="4"/>
  <c r="G996" i="5"/>
  <c r="I997" i="5"/>
  <c r="G1018" i="4"/>
  <c r="I1018" i="4" s="1"/>
  <c r="I1019" i="4"/>
  <c r="F126" i="3"/>
  <c r="H127" i="3"/>
  <c r="F411" i="3"/>
  <c r="H412" i="3"/>
  <c r="G724" i="4"/>
  <c r="I724" i="4" s="1"/>
  <c r="G995" i="5" l="1"/>
  <c r="I996" i="5"/>
  <c r="F410" i="3"/>
  <c r="H410" i="3" s="1"/>
  <c r="H411" i="3"/>
  <c r="D16" i="2"/>
  <c r="F16" i="2" s="1"/>
  <c r="H126" i="3"/>
  <c r="D81" i="12"/>
  <c r="C81" i="12"/>
  <c r="C92" i="1"/>
  <c r="D38" i="12"/>
  <c r="D36" i="12"/>
  <c r="C38" i="12"/>
  <c r="C36" i="12"/>
  <c r="C38" i="1"/>
  <c r="E38" i="1" s="1"/>
  <c r="C36" i="1"/>
  <c r="E36" i="1" s="1"/>
  <c r="D30" i="12"/>
  <c r="C30" i="12"/>
  <c r="C53" i="1"/>
  <c r="C30" i="1"/>
  <c r="E30" i="1" s="1"/>
  <c r="C26" i="1"/>
  <c r="E26" i="1" s="1"/>
  <c r="G994" i="5" l="1"/>
  <c r="I995" i="5"/>
  <c r="C50" i="1"/>
  <c r="E50" i="1" s="1"/>
  <c r="E53" i="1"/>
  <c r="C35" i="12"/>
  <c r="C35" i="1"/>
  <c r="E35" i="1" s="1"/>
  <c r="D35" i="12"/>
  <c r="F270" i="14"/>
  <c r="F269" i="14" s="1"/>
  <c r="F268" i="14" s="1"/>
  <c r="C66" i="1"/>
  <c r="E66" i="1" s="1"/>
  <c r="C68" i="1"/>
  <c r="E68" i="1" s="1"/>
  <c r="C70" i="1"/>
  <c r="E70" i="1" s="1"/>
  <c r="D65" i="12"/>
  <c r="D67" i="12"/>
  <c r="C67" i="12"/>
  <c r="D69" i="12"/>
  <c r="C69" i="12"/>
  <c r="C65" i="12"/>
  <c r="C125" i="12"/>
  <c r="D125" i="12" s="1"/>
  <c r="G56" i="4"/>
  <c r="I56" i="4" s="1"/>
  <c r="G178" i="15"/>
  <c r="D141" i="12"/>
  <c r="D140" i="12"/>
  <c r="D138" i="12" s="1"/>
  <c r="C128" i="12"/>
  <c r="C124" i="12"/>
  <c r="D124" i="12" s="1"/>
  <c r="C123" i="12"/>
  <c r="D123" i="12" s="1"/>
  <c r="C122" i="12"/>
  <c r="D122" i="12" s="1"/>
  <c r="C121" i="12"/>
  <c r="D121" i="12" s="1"/>
  <c r="C119" i="12"/>
  <c r="D119" i="12" s="1"/>
  <c r="C118" i="12"/>
  <c r="D118" i="12" s="1"/>
  <c r="C117" i="12"/>
  <c r="D117" i="12" s="1"/>
  <c r="C116" i="12"/>
  <c r="D116" i="12" s="1"/>
  <c r="C115" i="12"/>
  <c r="D115" i="12" s="1"/>
  <c r="C114" i="12"/>
  <c r="G993" i="5" l="1"/>
  <c r="I994" i="5"/>
  <c r="D114" i="12"/>
  <c r="D64" i="12"/>
  <c r="D63" i="12" s="1"/>
  <c r="C64" i="12"/>
  <c r="C63" i="12" s="1"/>
  <c r="C65" i="1"/>
  <c r="G992" i="5" l="1"/>
  <c r="I992" i="5" s="1"/>
  <c r="I993" i="5"/>
  <c r="C64" i="1"/>
  <c r="E64" i="1" s="1"/>
  <c r="E65" i="1"/>
  <c r="E19" i="13"/>
  <c r="E18" i="13"/>
  <c r="D18" i="12"/>
  <c r="D17" i="12" s="1"/>
  <c r="D25" i="12"/>
  <c r="C25" i="12"/>
  <c r="D57" i="12"/>
  <c r="D56" i="12" s="1"/>
  <c r="D145" i="12"/>
  <c r="D144" i="12" s="1"/>
  <c r="D143" i="12" s="1"/>
  <c r="C145" i="12"/>
  <c r="C144" i="12" s="1"/>
  <c r="C143" i="12" s="1"/>
  <c r="D134" i="12"/>
  <c r="C134" i="12"/>
  <c r="D108" i="12"/>
  <c r="C108" i="12"/>
  <c r="D103" i="12"/>
  <c r="C103" i="12"/>
  <c r="D94" i="12"/>
  <c r="C94" i="12"/>
  <c r="D90" i="12"/>
  <c r="C90" i="12"/>
  <c r="D88" i="12"/>
  <c r="C88" i="12"/>
  <c r="D78" i="12"/>
  <c r="C78" i="12"/>
  <c r="D72" i="12"/>
  <c r="D71" i="12" s="1"/>
  <c r="C72" i="12"/>
  <c r="C71" i="12" s="1"/>
  <c r="D61" i="12"/>
  <c r="C61" i="12"/>
  <c r="D59" i="12"/>
  <c r="C59" i="12"/>
  <c r="C56" i="12"/>
  <c r="C55" i="12"/>
  <c r="D50" i="12"/>
  <c r="D49" i="12" s="1"/>
  <c r="C50" i="12"/>
  <c r="C49" i="12" s="1"/>
  <c r="D47" i="12"/>
  <c r="C47" i="12"/>
  <c r="D45" i="12"/>
  <c r="C45" i="12"/>
  <c r="D41" i="12"/>
  <c r="D40" i="12" s="1"/>
  <c r="C41" i="12"/>
  <c r="C40" i="12" s="1"/>
  <c r="D33" i="12"/>
  <c r="C33" i="12"/>
  <c r="C32" i="12" s="1"/>
  <c r="D28" i="12"/>
  <c r="C28" i="12"/>
  <c r="C18" i="12"/>
  <c r="C17" i="12" s="1"/>
  <c r="D12" i="12"/>
  <c r="D11" i="12" s="1"/>
  <c r="C12" i="12"/>
  <c r="C11" i="12" s="1"/>
  <c r="H37" i="17"/>
  <c r="H36" i="17" s="1"/>
  <c r="H35" i="17" s="1"/>
  <c r="H34" i="17" s="1"/>
  <c r="H33" i="17" s="1"/>
  <c r="H953" i="16"/>
  <c r="H952" i="16" s="1"/>
  <c r="H951" i="16" s="1"/>
  <c r="H950" i="16" s="1"/>
  <c r="H949" i="16" s="1"/>
  <c r="H947" i="16" s="1"/>
  <c r="H945" i="16"/>
  <c r="H944" i="16" s="1"/>
  <c r="H943" i="16" s="1"/>
  <c r="H942" i="16" s="1"/>
  <c r="H941" i="16" s="1"/>
  <c r="H896" i="16"/>
  <c r="H895" i="16" s="1"/>
  <c r="H894" i="16" s="1"/>
  <c r="H871" i="16"/>
  <c r="H870" i="16" s="1"/>
  <c r="H869" i="16" s="1"/>
  <c r="H844" i="16"/>
  <c r="H842" i="16"/>
  <c r="H841" i="16" s="1"/>
  <c r="H786" i="16"/>
  <c r="H787" i="16" s="1"/>
  <c r="H703" i="16"/>
  <c r="H701" i="16"/>
  <c r="H700" i="16" s="1"/>
  <c r="H699" i="16" s="1"/>
  <c r="H698" i="16" s="1"/>
  <c r="H696" i="16"/>
  <c r="H697" i="16" s="1"/>
  <c r="H679" i="16"/>
  <c r="H680" i="16" s="1"/>
  <c r="G953" i="16"/>
  <c r="G945" i="16"/>
  <c r="G944" i="16" s="1"/>
  <c r="G943" i="16" s="1"/>
  <c r="G942" i="16" s="1"/>
  <c r="G941" i="16" s="1"/>
  <c r="G871" i="16"/>
  <c r="G870" i="16" s="1"/>
  <c r="G869" i="16" s="1"/>
  <c r="G842" i="16"/>
  <c r="G841" i="16" s="1"/>
  <c r="G786" i="16"/>
  <c r="G787" i="16" s="1"/>
  <c r="G696" i="16"/>
  <c r="G697" i="16" s="1"/>
  <c r="G679" i="16"/>
  <c r="G680" i="16" s="1"/>
  <c r="G22" i="16"/>
  <c r="G23" i="16" s="1"/>
  <c r="G952" i="16"/>
  <c r="G951" i="16" s="1"/>
  <c r="G950" i="16" s="1"/>
  <c r="G949" i="16" s="1"/>
  <c r="G895" i="16"/>
  <c r="G894" i="16" s="1"/>
  <c r="G703" i="16"/>
  <c r="G701" i="16"/>
  <c r="G700" i="16" s="1"/>
  <c r="G699" i="16" s="1"/>
  <c r="G698" i="16" s="1"/>
  <c r="C97" i="12" l="1"/>
  <c r="C83" i="12" s="1"/>
  <c r="D97" i="12"/>
  <c r="D83" i="12" s="1"/>
  <c r="D58" i="12"/>
  <c r="D55" i="12"/>
  <c r="H785" i="16"/>
  <c r="H784" i="16" s="1"/>
  <c r="H783" i="16" s="1"/>
  <c r="H782" i="16" s="1"/>
  <c r="H781" i="16" s="1"/>
  <c r="G21" i="16"/>
  <c r="D44" i="12"/>
  <c r="D43" i="12" s="1"/>
  <c r="C44" i="12"/>
  <c r="C43" i="12" s="1"/>
  <c r="H939" i="16"/>
  <c r="H946" i="16" s="1"/>
  <c r="H940" i="16"/>
  <c r="G785" i="16"/>
  <c r="G784" i="16" s="1"/>
  <c r="G783" i="16" s="1"/>
  <c r="G782" i="16" s="1"/>
  <c r="G781" i="16" s="1"/>
  <c r="H695" i="16"/>
  <c r="H694" i="16" s="1"/>
  <c r="H693" i="16" s="1"/>
  <c r="H692" i="16" s="1"/>
  <c r="H872" i="16"/>
  <c r="H678" i="16"/>
  <c r="H677" i="16" s="1"/>
  <c r="H676" i="16" s="1"/>
  <c r="H675" i="16" s="1"/>
  <c r="C58" i="12"/>
  <c r="D76" i="12"/>
  <c r="D77" i="12"/>
  <c r="C76" i="12"/>
  <c r="C77" i="12"/>
  <c r="D27" i="12"/>
  <c r="D26" i="12" s="1"/>
  <c r="D24" i="12"/>
  <c r="C27" i="12"/>
  <c r="C26" i="12" s="1"/>
  <c r="C24" i="12"/>
  <c r="D32" i="12"/>
  <c r="H948" i="16"/>
  <c r="H954" i="16"/>
  <c r="G678" i="16"/>
  <c r="G677" i="16" s="1"/>
  <c r="G676" i="16" s="1"/>
  <c r="G675" i="16" s="1"/>
  <c r="G939" i="16"/>
  <c r="G946" i="16" s="1"/>
  <c r="G940" i="16"/>
  <c r="G947" i="16"/>
  <c r="G948" i="16"/>
  <c r="G695" i="16"/>
  <c r="G694" i="16" s="1"/>
  <c r="G693" i="16" s="1"/>
  <c r="G692" i="16" s="1"/>
  <c r="G844" i="16"/>
  <c r="G872" i="16"/>
  <c r="F213" i="14"/>
  <c r="F212" i="14" s="1"/>
  <c r="F211" i="14" s="1"/>
  <c r="F210" i="14" s="1"/>
  <c r="F267" i="14"/>
  <c r="H406" i="15"/>
  <c r="G406" i="15"/>
  <c r="F321" i="3"/>
  <c r="G38" i="4"/>
  <c r="I38" i="4" s="1"/>
  <c r="G196" i="4"/>
  <c r="I196" i="4" s="1"/>
  <c r="G285" i="4"/>
  <c r="I285" i="4" s="1"/>
  <c r="G293" i="4"/>
  <c r="I293" i="4" s="1"/>
  <c r="G503" i="4"/>
  <c r="I503" i="4" s="1"/>
  <c r="G531" i="4"/>
  <c r="I531" i="4" s="1"/>
  <c r="G672" i="4"/>
  <c r="I672" i="4" s="1"/>
  <c r="G785" i="4"/>
  <c r="I785" i="4" s="1"/>
  <c r="G854" i="4"/>
  <c r="I854" i="4" s="1"/>
  <c r="G872" i="4"/>
  <c r="I872" i="4" s="1"/>
  <c r="F320" i="3" l="1"/>
  <c r="H321" i="3"/>
  <c r="C96" i="12"/>
  <c r="D96" i="12"/>
  <c r="F307" i="14"/>
  <c r="F306" i="14" s="1"/>
  <c r="F305" i="14" s="1"/>
  <c r="F304" i="14" s="1"/>
  <c r="F43" i="12"/>
  <c r="E43" i="12"/>
  <c r="G146" i="16"/>
  <c r="H276" i="15"/>
  <c r="H275" i="15" s="1"/>
  <c r="H274" i="15" s="1"/>
  <c r="H273" i="15" s="1"/>
  <c r="C23" i="12"/>
  <c r="C22" i="12" s="1"/>
  <c r="E10" i="12" s="1"/>
  <c r="D23" i="12"/>
  <c r="D22" i="12" s="1"/>
  <c r="G954" i="16"/>
  <c r="G150" i="5"/>
  <c r="G275" i="15"/>
  <c r="G274" i="15" s="1"/>
  <c r="G273" i="15" s="1"/>
  <c r="G272" i="4"/>
  <c r="G271" i="4" l="1"/>
  <c r="I272" i="4"/>
  <c r="G151" i="5"/>
  <c r="I151" i="5" s="1"/>
  <c r="I150" i="5"/>
  <c r="F319" i="3"/>
  <c r="H320" i="3"/>
  <c r="F10" i="12"/>
  <c r="D10" i="12"/>
  <c r="H146" i="16"/>
  <c r="G307" i="14"/>
  <c r="G306" i="14" s="1"/>
  <c r="G305" i="14" s="1"/>
  <c r="G304" i="14" s="1"/>
  <c r="G145" i="16"/>
  <c r="G144" i="16" s="1"/>
  <c r="G143" i="16" s="1"/>
  <c r="G142" i="16" s="1"/>
  <c r="G141" i="16" s="1"/>
  <c r="G147" i="16"/>
  <c r="C10" i="12"/>
  <c r="G149" i="5"/>
  <c r="G148" i="5" l="1"/>
  <c r="I149" i="5"/>
  <c r="G270" i="4"/>
  <c r="I270" i="4" s="1"/>
  <c r="I271" i="4"/>
  <c r="F318" i="3"/>
  <c r="H318" i="3" s="1"/>
  <c r="H319" i="3"/>
  <c r="H147" i="16"/>
  <c r="H145" i="16"/>
  <c r="H144" i="16" s="1"/>
  <c r="H143" i="16" s="1"/>
  <c r="H142" i="16" s="1"/>
  <c r="H141" i="16" s="1"/>
  <c r="G147" i="5" l="1"/>
  <c r="I148" i="5"/>
  <c r="G833" i="14"/>
  <c r="G832" i="14" s="1"/>
  <c r="G831" i="14" s="1"/>
  <c r="G830" i="14" s="1"/>
  <c r="G829" i="14" s="1"/>
  <c r="F833" i="14"/>
  <c r="F832" i="14" s="1"/>
  <c r="F831" i="14" s="1"/>
  <c r="F830" i="14" s="1"/>
  <c r="F829" i="14" s="1"/>
  <c r="G478" i="14"/>
  <c r="G477" i="14" s="1"/>
  <c r="G476" i="14" s="1"/>
  <c r="G475" i="14" s="1"/>
  <c r="G474" i="14" s="1"/>
  <c r="F478" i="14"/>
  <c r="F477" i="14" s="1"/>
  <c r="F476" i="14" s="1"/>
  <c r="F475" i="14" s="1"/>
  <c r="F474" i="14" s="1"/>
  <c r="F502" i="3"/>
  <c r="I147" i="5" l="1"/>
  <c r="G146" i="5"/>
  <c r="F501" i="3"/>
  <c r="H502" i="3"/>
  <c r="G717" i="5"/>
  <c r="H408" i="15"/>
  <c r="H407" i="15" s="1"/>
  <c r="H405" i="15" s="1"/>
  <c r="G408" i="15"/>
  <c r="G407" i="15" s="1"/>
  <c r="G405" i="15" s="1"/>
  <c r="H1052" i="15"/>
  <c r="H1051" i="15" s="1"/>
  <c r="H1050" i="15" s="1"/>
  <c r="H1049" i="15" s="1"/>
  <c r="G1052" i="15"/>
  <c r="G1051" i="15" s="1"/>
  <c r="G1050" i="15" s="1"/>
  <c r="G1049" i="15" s="1"/>
  <c r="G145" i="5" l="1"/>
  <c r="I145" i="5" s="1"/>
  <c r="I146" i="5"/>
  <c r="G716" i="5"/>
  <c r="I717" i="5"/>
  <c r="F500" i="3"/>
  <c r="H501" i="3"/>
  <c r="G1109" i="4"/>
  <c r="G365" i="14"/>
  <c r="G364" i="14" s="1"/>
  <c r="G363" i="14" s="1"/>
  <c r="G362" i="14" s="1"/>
  <c r="F365" i="14"/>
  <c r="F364" i="14" s="1"/>
  <c r="F363" i="14" s="1"/>
  <c r="F362" i="14" s="1"/>
  <c r="G939" i="15"/>
  <c r="G938" i="15" s="1"/>
  <c r="G937" i="15" s="1"/>
  <c r="G209" i="14"/>
  <c r="G208" i="14" s="1"/>
  <c r="G207" i="14" s="1"/>
  <c r="G206" i="14" s="1"/>
  <c r="G205" i="14" s="1"/>
  <c r="F208" i="14"/>
  <c r="F207" i="14" s="1"/>
  <c r="F206" i="14" s="1"/>
  <c r="F205" i="14" s="1"/>
  <c r="H127" i="15"/>
  <c r="H126" i="15" s="1"/>
  <c r="H125" i="15" s="1"/>
  <c r="H124" i="15" s="1"/>
  <c r="G127" i="15"/>
  <c r="G126" i="15" s="1"/>
  <c r="G125" i="15" s="1"/>
  <c r="G124" i="15" s="1"/>
  <c r="G990" i="5"/>
  <c r="I990" i="5" s="1"/>
  <c r="H132" i="15"/>
  <c r="H131" i="15" s="1"/>
  <c r="G132" i="15"/>
  <c r="G131" i="15" s="1"/>
  <c r="G1108" i="4" l="1"/>
  <c r="I1109" i="4"/>
  <c r="G715" i="5"/>
  <c r="I716" i="5"/>
  <c r="F499" i="3"/>
  <c r="H500" i="3"/>
  <c r="G130" i="15"/>
  <c r="G129" i="15"/>
  <c r="H129" i="15"/>
  <c r="H130" i="15"/>
  <c r="F191" i="3"/>
  <c r="F179" i="3"/>
  <c r="H179" i="3" s="1"/>
  <c r="G873" i="5"/>
  <c r="G876" i="5"/>
  <c r="G795" i="4"/>
  <c r="G794" i="4" l="1"/>
  <c r="I795" i="4"/>
  <c r="G714" i="5"/>
  <c r="I715" i="5"/>
  <c r="G875" i="5"/>
  <c r="I875" i="5" s="1"/>
  <c r="I876" i="5"/>
  <c r="G874" i="5"/>
  <c r="I874" i="5" s="1"/>
  <c r="I873" i="5"/>
  <c r="G1107" i="4"/>
  <c r="I1108" i="4"/>
  <c r="F190" i="3"/>
  <c r="H190" i="3" s="1"/>
  <c r="H191" i="3"/>
  <c r="F498" i="3"/>
  <c r="H498" i="3" s="1"/>
  <c r="H499" i="3"/>
  <c r="G779" i="15"/>
  <c r="G778" i="15" s="1"/>
  <c r="H780" i="15"/>
  <c r="G839" i="16"/>
  <c r="G877" i="5"/>
  <c r="I877" i="5" s="1"/>
  <c r="F934" i="3"/>
  <c r="F933" i="3" s="1"/>
  <c r="F40" i="3"/>
  <c r="H40" i="3" s="1"/>
  <c r="F21" i="3"/>
  <c r="H21" i="3" s="1"/>
  <c r="D126" i="12"/>
  <c r="C150" i="1"/>
  <c r="E150" i="1" s="1"/>
  <c r="G713" i="5" l="1"/>
  <c r="I714" i="5"/>
  <c r="G1106" i="4"/>
  <c r="I1106" i="4" s="1"/>
  <c r="I1107" i="4"/>
  <c r="G793" i="4"/>
  <c r="I794" i="4"/>
  <c r="H839" i="16"/>
  <c r="H840" i="16" s="1"/>
  <c r="H779" i="15"/>
  <c r="H778" i="15" s="1"/>
  <c r="H777" i="15" s="1"/>
  <c r="H776" i="15" s="1"/>
  <c r="H775" i="15" s="1"/>
  <c r="H774" i="15" s="1"/>
  <c r="G777" i="15"/>
  <c r="G776" i="15" s="1"/>
  <c r="G775" i="15" s="1"/>
  <c r="G774" i="15" s="1"/>
  <c r="G838" i="16"/>
  <c r="G840" i="16"/>
  <c r="G792" i="4" l="1"/>
  <c r="I793" i="4"/>
  <c r="G712" i="5"/>
  <c r="I712" i="5" s="1"/>
  <c r="I713" i="5"/>
  <c r="H838" i="16"/>
  <c r="C25" i="1"/>
  <c r="G111" i="4"/>
  <c r="I111" i="4" s="1"/>
  <c r="I792" i="4" l="1"/>
  <c r="G791" i="4"/>
  <c r="C24" i="1"/>
  <c r="E25" i="1"/>
  <c r="G94" i="5"/>
  <c r="I791" i="4" l="1"/>
  <c r="G790" i="4"/>
  <c r="I790" i="4" s="1"/>
  <c r="G93" i="5"/>
  <c r="I93" i="5" s="1"/>
  <c r="I94" i="5"/>
  <c r="C23" i="1"/>
  <c r="E23" i="1" s="1"/>
  <c r="E24" i="1"/>
  <c r="F897" i="14"/>
  <c r="F896" i="14" s="1"/>
  <c r="G466" i="15"/>
  <c r="H467" i="15"/>
  <c r="G89" i="16"/>
  <c r="G32" i="17"/>
  <c r="G92" i="5" l="1"/>
  <c r="I92" i="5" s="1"/>
  <c r="G897" i="14"/>
  <c r="G896" i="14" s="1"/>
  <c r="H466" i="15"/>
  <c r="G90" i="16"/>
  <c r="G88" i="16"/>
  <c r="H89" i="16"/>
  <c r="H32" i="17"/>
  <c r="H31" i="17" s="1"/>
  <c r="H30" i="17" s="1"/>
  <c r="H29" i="17" s="1"/>
  <c r="H28" i="17" s="1"/>
  <c r="H27" i="17" s="1"/>
  <c r="G37" i="17"/>
  <c r="G36" i="17" s="1"/>
  <c r="G35" i="17" s="1"/>
  <c r="G34" i="17" s="1"/>
  <c r="G33" i="17" s="1"/>
  <c r="G42" i="6"/>
  <c r="I42" i="6" s="1"/>
  <c r="G36" i="6"/>
  <c r="G466" i="4"/>
  <c r="G35" i="6" l="1"/>
  <c r="I35" i="6" s="1"/>
  <c r="I36" i="6"/>
  <c r="I466" i="4"/>
  <c r="G934" i="3"/>
  <c r="G932" i="3"/>
  <c r="H90" i="5" s="1"/>
  <c r="H88" i="16"/>
  <c r="H90" i="16"/>
  <c r="G31" i="17"/>
  <c r="G30" i="17" s="1"/>
  <c r="G29" i="17" s="1"/>
  <c r="G28" i="17" s="1"/>
  <c r="G27" i="17" s="1"/>
  <c r="H91" i="5" l="1"/>
  <c r="H89" i="5"/>
  <c r="G931" i="3"/>
  <c r="G933" i="3"/>
  <c r="H933" i="3" s="1"/>
  <c r="H934" i="3"/>
  <c r="G24" i="6"/>
  <c r="G18" i="6"/>
  <c r="G17" i="6" l="1"/>
  <c r="I17" i="6" s="1"/>
  <c r="I18" i="6"/>
  <c r="G23" i="6"/>
  <c r="I24" i="6"/>
  <c r="H88" i="5"/>
  <c r="G930" i="3"/>
  <c r="F187" i="14"/>
  <c r="F38" i="14"/>
  <c r="G38" i="14" s="1"/>
  <c r="G22" i="6" l="1"/>
  <c r="I23" i="6"/>
  <c r="H85" i="5"/>
  <c r="H87" i="5"/>
  <c r="G929" i="3"/>
  <c r="D19" i="13"/>
  <c r="G1093" i="15"/>
  <c r="H1093" i="15" s="1"/>
  <c r="G1039" i="15"/>
  <c r="H1039" i="15" s="1"/>
  <c r="G1010" i="15"/>
  <c r="G986" i="15"/>
  <c r="G964" i="15"/>
  <c r="G960" i="15"/>
  <c r="G956" i="15"/>
  <c r="G935" i="15"/>
  <c r="H935" i="15" s="1"/>
  <c r="G932" i="15"/>
  <c r="H932" i="15" s="1"/>
  <c r="G930" i="15"/>
  <c r="H930" i="15" s="1"/>
  <c r="G927" i="15"/>
  <c r="H927" i="15" s="1"/>
  <c r="H924" i="15"/>
  <c r="H922" i="15"/>
  <c r="G918" i="15"/>
  <c r="H918" i="15" s="1"/>
  <c r="G915" i="15"/>
  <c r="G914" i="15" s="1"/>
  <c r="G913" i="15"/>
  <c r="H911" i="15"/>
  <c r="G270" i="14"/>
  <c r="G269" i="14" s="1"/>
  <c r="G268" i="14" s="1"/>
  <c r="G884" i="15"/>
  <c r="G808" i="15"/>
  <c r="G801" i="15"/>
  <c r="G798" i="15"/>
  <c r="G726" i="15"/>
  <c r="H726" i="15" s="1"/>
  <c r="G690" i="16"/>
  <c r="G684" i="15"/>
  <c r="G605" i="15"/>
  <c r="G685" i="16" s="1"/>
  <c r="G587" i="15"/>
  <c r="G580" i="15"/>
  <c r="G545" i="15"/>
  <c r="G519" i="15"/>
  <c r="H519" i="15" s="1"/>
  <c r="G422" i="15"/>
  <c r="H422" i="15" s="1"/>
  <c r="G330" i="15"/>
  <c r="G272" i="15"/>
  <c r="G269" i="15"/>
  <c r="G258" i="15"/>
  <c r="G255" i="15"/>
  <c r="G246" i="15"/>
  <c r="G245" i="15" s="1"/>
  <c r="G239" i="15"/>
  <c r="F184" i="14" s="1"/>
  <c r="F183" i="14" s="1"/>
  <c r="F182" i="14" s="1"/>
  <c r="F178" i="14"/>
  <c r="F177" i="14" s="1"/>
  <c r="F176" i="14" s="1"/>
  <c r="G230" i="15"/>
  <c r="H230" i="15" s="1"/>
  <c r="G225" i="15"/>
  <c r="G189" i="15"/>
  <c r="G140" i="15"/>
  <c r="H140" i="15" s="1"/>
  <c r="G86" i="15"/>
  <c r="G20" i="15"/>
  <c r="H18" i="15"/>
  <c r="H86" i="5" l="1"/>
  <c r="G21" i="6"/>
  <c r="I22" i="6"/>
  <c r="H913" i="15"/>
  <c r="G912" i="15"/>
  <c r="G909" i="15" s="1"/>
  <c r="F338" i="14"/>
  <c r="F337" i="14" s="1"/>
  <c r="F334" i="14" s="1"/>
  <c r="F87" i="14"/>
  <c r="F86" i="14" s="1"/>
  <c r="G76" i="15"/>
  <c r="H95" i="15"/>
  <c r="H94" i="15" s="1"/>
  <c r="H93" i="15" s="1"/>
  <c r="G94" i="15"/>
  <c r="G93" i="15" s="1"/>
  <c r="H147" i="15"/>
  <c r="F228" i="14"/>
  <c r="F227" i="14" s="1"/>
  <c r="F226" i="14" s="1"/>
  <c r="G146" i="15"/>
  <c r="G145" i="15" s="1"/>
  <c r="F681" i="14"/>
  <c r="F680" i="14" s="1"/>
  <c r="F679" i="14" s="1"/>
  <c r="G295" i="15"/>
  <c r="G294" i="15" s="1"/>
  <c r="F811" i="14"/>
  <c r="F810" i="14" s="1"/>
  <c r="F809" i="14" s="1"/>
  <c r="G386" i="15"/>
  <c r="G385" i="15" s="1"/>
  <c r="H425" i="15"/>
  <c r="F849" i="14"/>
  <c r="F848" i="14" s="1"/>
  <c r="F847" i="14" s="1"/>
  <c r="G424" i="15"/>
  <c r="G423" i="15" s="1"/>
  <c r="H437" i="15"/>
  <c r="F861" i="14"/>
  <c r="F860" i="14" s="1"/>
  <c r="F859" i="14" s="1"/>
  <c r="G436" i="15"/>
  <c r="G435" i="15" s="1"/>
  <c r="F486" i="14"/>
  <c r="F485" i="14" s="1"/>
  <c r="F484" i="14" s="1"/>
  <c r="G552" i="15"/>
  <c r="G551" i="15" s="1"/>
  <c r="G550" i="15" s="1"/>
  <c r="F533" i="14"/>
  <c r="F532" i="14" s="1"/>
  <c r="F531" i="14" s="1"/>
  <c r="G599" i="15"/>
  <c r="G598" i="15" s="1"/>
  <c r="F634" i="14"/>
  <c r="F633" i="14" s="1"/>
  <c r="F632" i="14" s="1"/>
  <c r="G700" i="15"/>
  <c r="G699" i="15" s="1"/>
  <c r="F937" i="14"/>
  <c r="F936" i="14" s="1"/>
  <c r="F935" i="14" s="1"/>
  <c r="G793" i="15"/>
  <c r="G792" i="15" s="1"/>
  <c r="H871" i="15"/>
  <c r="H870" i="15" s="1"/>
  <c r="H869" i="15" s="1"/>
  <c r="G870" i="15"/>
  <c r="G869" i="15" s="1"/>
  <c r="H975" i="15"/>
  <c r="G974" i="15"/>
  <c r="G973" i="15" s="1"/>
  <c r="F400" i="14"/>
  <c r="F399" i="14" s="1"/>
  <c r="F398" i="14" s="1"/>
  <c r="F431" i="14"/>
  <c r="F430" i="14" s="1"/>
  <c r="F429" i="14" s="1"/>
  <c r="G1005" i="15"/>
  <c r="G1004" i="15" s="1"/>
  <c r="H1071" i="15"/>
  <c r="G1070" i="15"/>
  <c r="F16" i="14"/>
  <c r="F15" i="14" s="1"/>
  <c r="F93" i="14"/>
  <c r="F92" i="14" s="1"/>
  <c r="F91" i="14" s="1"/>
  <c r="G82" i="15"/>
  <c r="G81" i="15" s="1"/>
  <c r="H114" i="15"/>
  <c r="F158" i="14"/>
  <c r="F157" i="14" s="1"/>
  <c r="F156" i="14" s="1"/>
  <c r="G113" i="15"/>
  <c r="G112" i="15" s="1"/>
  <c r="G241" i="15"/>
  <c r="G240" i="15" s="1"/>
  <c r="F190" i="14"/>
  <c r="F189" i="14" s="1"/>
  <c r="F188" i="14" s="1"/>
  <c r="F671" i="14"/>
  <c r="F670" i="14" s="1"/>
  <c r="G285" i="15"/>
  <c r="F724" i="14"/>
  <c r="F723" i="14" s="1"/>
  <c r="G335" i="15"/>
  <c r="F801" i="14"/>
  <c r="F800" i="14" s="1"/>
  <c r="G376" i="15"/>
  <c r="F838" i="14"/>
  <c r="F837" i="14" s="1"/>
  <c r="F836" i="14" s="1"/>
  <c r="G413" i="15"/>
  <c r="G412" i="15" s="1"/>
  <c r="H430" i="15"/>
  <c r="F854" i="14"/>
  <c r="F853" i="14" s="1"/>
  <c r="G429" i="15"/>
  <c r="F886" i="14"/>
  <c r="F885" i="14" s="1"/>
  <c r="F884" i="14" s="1"/>
  <c r="G455" i="15"/>
  <c r="G454" i="15" s="1"/>
  <c r="F488" i="14"/>
  <c r="F487" i="14" s="1"/>
  <c r="F516" i="14"/>
  <c r="F515" i="14" s="1"/>
  <c r="F514" i="14" s="1"/>
  <c r="G582" i="15"/>
  <c r="G581" i="15" s="1"/>
  <c r="F563" i="14"/>
  <c r="F562" i="14" s="1"/>
  <c r="F561" i="14" s="1"/>
  <c r="G629" i="15"/>
  <c r="G628" i="15" s="1"/>
  <c r="H772" i="15"/>
  <c r="F764" i="14"/>
  <c r="F763" i="14" s="1"/>
  <c r="F762" i="14" s="1"/>
  <c r="G771" i="15"/>
  <c r="G770" i="15" s="1"/>
  <c r="H829" i="15"/>
  <c r="F972" i="14"/>
  <c r="F971" i="14" s="1"/>
  <c r="F970" i="14" s="1"/>
  <c r="G828" i="15"/>
  <c r="G827" i="15" s="1"/>
  <c r="F406" i="14"/>
  <c r="F405" i="14" s="1"/>
  <c r="F404" i="14" s="1"/>
  <c r="G980" i="15"/>
  <c r="G979" i="15" s="1"/>
  <c r="F420" i="14"/>
  <c r="F419" i="14" s="1"/>
  <c r="F418" i="14" s="1"/>
  <c r="G994" i="15"/>
  <c r="G993" i="15" s="1"/>
  <c r="H1024" i="15"/>
  <c r="F449" i="14"/>
  <c r="F448" i="14" s="1"/>
  <c r="G1023" i="15"/>
  <c r="H1043" i="15"/>
  <c r="F468" i="14"/>
  <c r="F467" i="14" s="1"/>
  <c r="G1042" i="15"/>
  <c r="H1074" i="15"/>
  <c r="F19" i="14"/>
  <c r="F18" i="14" s="1"/>
  <c r="F17" i="14" s="1"/>
  <c r="G1073" i="15"/>
  <c r="G1072" i="15" s="1"/>
  <c r="H1101" i="15"/>
  <c r="F104" i="14"/>
  <c r="F103" i="14" s="1"/>
  <c r="G1100" i="15"/>
  <c r="H41" i="15"/>
  <c r="F48" i="14"/>
  <c r="F47" i="14" s="1"/>
  <c r="G40" i="15"/>
  <c r="F199" i="14"/>
  <c r="F198" i="14" s="1"/>
  <c r="F197" i="14" s="1"/>
  <c r="G122" i="15"/>
  <c r="G121" i="15" s="1"/>
  <c r="G120" i="15" s="1"/>
  <c r="F247" i="14"/>
  <c r="F246" i="14" s="1"/>
  <c r="F245" i="14" s="1"/>
  <c r="G165" i="15"/>
  <c r="G164" i="15" s="1"/>
  <c r="H196" i="15"/>
  <c r="F874" i="14"/>
  <c r="F873" i="14" s="1"/>
  <c r="F872" i="14" s="1"/>
  <c r="G195" i="15"/>
  <c r="G194" i="15" s="1"/>
  <c r="G193" i="15" s="1"/>
  <c r="G192" i="15" s="1"/>
  <c r="F673" i="14"/>
  <c r="F672" i="14" s="1"/>
  <c r="G287" i="15"/>
  <c r="F705" i="14"/>
  <c r="F704" i="14" s="1"/>
  <c r="F703" i="14" s="1"/>
  <c r="G319" i="15"/>
  <c r="G318" i="15" s="1"/>
  <c r="F728" i="14"/>
  <c r="F727" i="14" s="1"/>
  <c r="F726" i="14" s="1"/>
  <c r="G339" i="15"/>
  <c r="G338" i="15" s="1"/>
  <c r="F782" i="14"/>
  <c r="F781" i="14" s="1"/>
  <c r="F778" i="14" s="1"/>
  <c r="G357" i="15"/>
  <c r="G354" i="15" s="1"/>
  <c r="G353" i="15" s="1"/>
  <c r="F803" i="14"/>
  <c r="F802" i="14" s="1"/>
  <c r="G378" i="15"/>
  <c r="F818" i="14"/>
  <c r="F817" i="14" s="1"/>
  <c r="F816" i="14" s="1"/>
  <c r="H394" i="15"/>
  <c r="H599" i="16" s="1"/>
  <c r="G393" i="15"/>
  <c r="G392" i="15" s="1"/>
  <c r="H420" i="15"/>
  <c r="F844" i="14"/>
  <c r="F843" i="14" s="1"/>
  <c r="F842" i="14" s="1"/>
  <c r="G419" i="15"/>
  <c r="G418" i="15" s="1"/>
  <c r="H432" i="15"/>
  <c r="F856" i="14"/>
  <c r="F855" i="14" s="1"/>
  <c r="G431" i="15"/>
  <c r="F895" i="14"/>
  <c r="F894" i="14" s="1"/>
  <c r="F893" i="14" s="1"/>
  <c r="F892" i="14" s="1"/>
  <c r="G464" i="15"/>
  <c r="G463" i="15" s="1"/>
  <c r="G836" i="16"/>
  <c r="G835" i="16" s="1"/>
  <c r="G834" i="16" s="1"/>
  <c r="G541" i="15"/>
  <c r="G540" i="15" s="1"/>
  <c r="F172" i="14"/>
  <c r="F171" i="14" s="1"/>
  <c r="F170" i="14" s="1"/>
  <c r="F550" i="14"/>
  <c r="F549" i="14" s="1"/>
  <c r="F548" i="14" s="1"/>
  <c r="G616" i="15"/>
  <c r="G615" i="15" s="1"/>
  <c r="F624" i="14"/>
  <c r="F623" i="14" s="1"/>
  <c r="F622" i="14" s="1"/>
  <c r="G690" i="15"/>
  <c r="G689" i="15" s="1"/>
  <c r="F931" i="14"/>
  <c r="F930" i="14" s="1"/>
  <c r="F929" i="14" s="1"/>
  <c r="G787" i="15"/>
  <c r="G786" i="15" s="1"/>
  <c r="H841" i="15"/>
  <c r="F984" i="14"/>
  <c r="F983" i="14" s="1"/>
  <c r="F982" i="14" s="1"/>
  <c r="G840" i="15"/>
  <c r="G839" i="15" s="1"/>
  <c r="G999" i="15"/>
  <c r="F425" i="14"/>
  <c r="F424" i="14" s="1"/>
  <c r="H1026" i="15"/>
  <c r="F451" i="14"/>
  <c r="F450" i="14" s="1"/>
  <c r="G1025" i="15"/>
  <c r="H1048" i="15"/>
  <c r="F473" i="14"/>
  <c r="F472" i="14" s="1"/>
  <c r="F471" i="14" s="1"/>
  <c r="G1047" i="15"/>
  <c r="G1046" i="15" s="1"/>
  <c r="F24" i="14"/>
  <c r="F23" i="14" s="1"/>
  <c r="F22" i="14" s="1"/>
  <c r="G1078" i="15"/>
  <c r="G1077" i="15" s="1"/>
  <c r="H1104" i="15"/>
  <c r="F107" i="14"/>
  <c r="F106" i="14" s="1"/>
  <c r="F105" i="14" s="1"/>
  <c r="G1103" i="15"/>
  <c r="G1102" i="15" s="1"/>
  <c r="H20" i="15"/>
  <c r="F115" i="14"/>
  <c r="F114" i="14" s="1"/>
  <c r="G19" i="15"/>
  <c r="F669" i="14"/>
  <c r="F668" i="14" s="1"/>
  <c r="G283" i="15"/>
  <c r="F776" i="14"/>
  <c r="F775" i="14" s="1"/>
  <c r="G351" i="15"/>
  <c r="H506" i="15"/>
  <c r="H505" i="15" s="1"/>
  <c r="H504" i="15" s="1"/>
  <c r="G505" i="15"/>
  <c r="G504" i="15" s="1"/>
  <c r="F560" i="14"/>
  <c r="F559" i="14" s="1"/>
  <c r="F558" i="14" s="1"/>
  <c r="G626" i="15"/>
  <c r="G625" i="15" s="1"/>
  <c r="H756" i="15"/>
  <c r="F748" i="14"/>
  <c r="F747" i="14" s="1"/>
  <c r="F746" i="14" s="1"/>
  <c r="G755" i="15"/>
  <c r="G754" i="15" s="1"/>
  <c r="H23" i="15"/>
  <c r="F118" i="14"/>
  <c r="F117" i="14" s="1"/>
  <c r="F116" i="14" s="1"/>
  <c r="G22" i="15"/>
  <c r="G21" i="15" s="1"/>
  <c r="H159" i="15"/>
  <c r="F240" i="14"/>
  <c r="F239" i="14" s="1"/>
  <c r="F238" i="14" s="1"/>
  <c r="G158" i="15"/>
  <c r="G157" i="15" s="1"/>
  <c r="F293" i="14"/>
  <c r="F292" i="14" s="1"/>
  <c r="F291" i="14" s="1"/>
  <c r="G261" i="15"/>
  <c r="G260" i="15" s="1"/>
  <c r="F687" i="14"/>
  <c r="F686" i="14" s="1"/>
  <c r="F685" i="14" s="1"/>
  <c r="G301" i="15"/>
  <c r="G300" i="15" s="1"/>
  <c r="H391" i="15"/>
  <c r="F815" i="14"/>
  <c r="F814" i="14" s="1"/>
  <c r="F813" i="14" s="1"/>
  <c r="G390" i="15"/>
  <c r="G389" i="15" s="1"/>
  <c r="G113" i="14"/>
  <c r="G112" i="14" s="1"/>
  <c r="H17" i="15"/>
  <c r="H49" i="15"/>
  <c r="F56" i="14"/>
  <c r="F55" i="14" s="1"/>
  <c r="F54" i="14" s="1"/>
  <c r="G48" i="15"/>
  <c r="G47" i="15" s="1"/>
  <c r="H92" i="15"/>
  <c r="G91" i="15"/>
  <c r="G90" i="15" s="1"/>
  <c r="F254" i="14"/>
  <c r="F253" i="14" s="1"/>
  <c r="F252" i="14" s="1"/>
  <c r="G172" i="15"/>
  <c r="G171" i="15" s="1"/>
  <c r="F907" i="14"/>
  <c r="F906" i="14" s="1"/>
  <c r="F905" i="14" s="1"/>
  <c r="G200" i="15"/>
  <c r="F181" i="14"/>
  <c r="F180" i="14" s="1"/>
  <c r="F179" i="14" s="1"/>
  <c r="G235" i="15"/>
  <c r="G234" i="15" s="1"/>
  <c r="G291" i="15"/>
  <c r="G290" i="15" s="1"/>
  <c r="F677" i="14"/>
  <c r="F676" i="14" s="1"/>
  <c r="F675" i="14" s="1"/>
  <c r="F715" i="14"/>
  <c r="F714" i="14" s="1"/>
  <c r="F713" i="14" s="1"/>
  <c r="G326" i="15"/>
  <c r="G325" i="15" s="1"/>
  <c r="G349" i="15"/>
  <c r="F774" i="14"/>
  <c r="F773" i="14" s="1"/>
  <c r="F786" i="14"/>
  <c r="F785" i="14" s="1"/>
  <c r="F784" i="14" s="1"/>
  <c r="G361" i="15"/>
  <c r="G360" i="15" s="1"/>
  <c r="G382" i="15"/>
  <c r="G381" i="15" s="1"/>
  <c r="F807" i="14"/>
  <c r="F806" i="14" s="1"/>
  <c r="F805" i="14" s="1"/>
  <c r="F825" i="14"/>
  <c r="F824" i="14" s="1"/>
  <c r="F823" i="14" s="1"/>
  <c r="G400" i="15"/>
  <c r="G399" i="15" s="1"/>
  <c r="H434" i="15"/>
  <c r="F858" i="14"/>
  <c r="F857" i="14" s="1"/>
  <c r="G433" i="15"/>
  <c r="F902" i="14"/>
  <c r="F901" i="14" s="1"/>
  <c r="F900" i="14" s="1"/>
  <c r="G471" i="15"/>
  <c r="G470" i="15" s="1"/>
  <c r="F502" i="14"/>
  <c r="F501" i="14" s="1"/>
  <c r="F500" i="14" s="1"/>
  <c r="G568" i="15"/>
  <c r="G567" i="15" s="1"/>
  <c r="F530" i="14"/>
  <c r="F529" i="14" s="1"/>
  <c r="F528" i="14" s="1"/>
  <c r="G596" i="15"/>
  <c r="G595" i="15" s="1"/>
  <c r="G623" i="15"/>
  <c r="G622" i="15" s="1"/>
  <c r="F557" i="14"/>
  <c r="F556" i="14" s="1"/>
  <c r="F555" i="14" s="1"/>
  <c r="F582" i="14"/>
  <c r="F581" i="14" s="1"/>
  <c r="F580" i="14" s="1"/>
  <c r="G648" i="15"/>
  <c r="G647" i="15" s="1"/>
  <c r="F708" i="14"/>
  <c r="F707" i="14" s="1"/>
  <c r="F706" i="14" s="1"/>
  <c r="G734" i="15"/>
  <c r="G733" i="15" s="1"/>
  <c r="F934" i="14"/>
  <c r="F933" i="14" s="1"/>
  <c r="F932" i="14" s="1"/>
  <c r="G790" i="15"/>
  <c r="G789" i="15" s="1"/>
  <c r="F947" i="14"/>
  <c r="F946" i="14" s="1"/>
  <c r="F945" i="14" s="1"/>
  <c r="G803" i="15"/>
  <c r="G802" i="15" s="1"/>
  <c r="H857" i="15"/>
  <c r="F132" i="14"/>
  <c r="F131" i="14" s="1"/>
  <c r="F130" i="14" s="1"/>
  <c r="G856" i="15"/>
  <c r="G855" i="15" s="1"/>
  <c r="G989" i="15"/>
  <c r="G988" i="15" s="1"/>
  <c r="F415" i="14"/>
  <c r="F414" i="14" s="1"/>
  <c r="F413" i="14" s="1"/>
  <c r="H1031" i="15"/>
  <c r="F456" i="14"/>
  <c r="F455" i="14" s="1"/>
  <c r="F454" i="14" s="1"/>
  <c r="G1030" i="15"/>
  <c r="G1029" i="15" s="1"/>
  <c r="H1061" i="15"/>
  <c r="F923" i="14"/>
  <c r="F922" i="14" s="1"/>
  <c r="F921" i="14" s="1"/>
  <c r="G1060" i="15"/>
  <c r="G1059" i="15" s="1"/>
  <c r="H1090" i="15"/>
  <c r="F35" i="14"/>
  <c r="F34" i="14" s="1"/>
  <c r="G1089" i="15"/>
  <c r="F790" i="14"/>
  <c r="F789" i="14" s="1"/>
  <c r="F788" i="14" s="1"/>
  <c r="G365" i="15"/>
  <c r="G364" i="15" s="1"/>
  <c r="G403" i="15"/>
  <c r="G402" i="15" s="1"/>
  <c r="G395" i="15" s="1"/>
  <c r="F828" i="14"/>
  <c r="F827" i="14" s="1"/>
  <c r="F826" i="14" s="1"/>
  <c r="F576" i="14"/>
  <c r="F575" i="14" s="1"/>
  <c r="F574" i="14" s="1"/>
  <c r="G642" i="15"/>
  <c r="G641" i="15" s="1"/>
  <c r="G714" i="15"/>
  <c r="G713" i="15" s="1"/>
  <c r="F648" i="14"/>
  <c r="F647" i="14" s="1"/>
  <c r="F646" i="14" s="1"/>
  <c r="F496" i="14"/>
  <c r="F495" i="14" s="1"/>
  <c r="F494" i="14" s="1"/>
  <c r="G562" i="15"/>
  <c r="G561" i="15" s="1"/>
  <c r="F341" i="14"/>
  <c r="F340" i="14" s="1"/>
  <c r="F339" i="14" s="1"/>
  <c r="H916" i="15"/>
  <c r="H915" i="15" s="1"/>
  <c r="H914" i="15" s="1"/>
  <c r="H83" i="15"/>
  <c r="G437" i="16"/>
  <c r="H242" i="15"/>
  <c r="G863" i="16"/>
  <c r="H330" i="15"/>
  <c r="H38" i="16" s="1"/>
  <c r="H39" i="16" s="1"/>
  <c r="G38" i="16"/>
  <c r="H649" i="15"/>
  <c r="G237" i="16"/>
  <c r="H735" i="15"/>
  <c r="G892" i="16"/>
  <c r="H804" i="15"/>
  <c r="G485" i="16"/>
  <c r="H990" i="15"/>
  <c r="G725" i="16"/>
  <c r="H123" i="15"/>
  <c r="G921" i="16"/>
  <c r="H166" i="15"/>
  <c r="G767" i="16"/>
  <c r="H233" i="15"/>
  <c r="G847" i="16"/>
  <c r="H302" i="15"/>
  <c r="G652" i="16"/>
  <c r="H336" i="15"/>
  <c r="G48" i="16"/>
  <c r="H377" i="15"/>
  <c r="G571" i="16"/>
  <c r="H414" i="15"/>
  <c r="G902" i="16"/>
  <c r="H701" i="15"/>
  <c r="G887" i="16"/>
  <c r="H1010" i="15"/>
  <c r="H755" i="16" s="1"/>
  <c r="G755" i="16"/>
  <c r="H173" i="15"/>
  <c r="G778" i="16"/>
  <c r="H236" i="15"/>
  <c r="G181" i="14" s="1"/>
  <c r="G180" i="14" s="1"/>
  <c r="G179" i="14" s="1"/>
  <c r="G851" i="16"/>
  <c r="H288" i="15"/>
  <c r="G628" i="16"/>
  <c r="H320" i="15"/>
  <c r="H897" i="16" s="1"/>
  <c r="G897" i="16"/>
  <c r="G599" i="16"/>
  <c r="H77" i="15"/>
  <c r="G427" i="16"/>
  <c r="H399" i="16"/>
  <c r="G399" i="16"/>
  <c r="H292" i="15"/>
  <c r="G635" i="16"/>
  <c r="H327" i="15"/>
  <c r="G34" i="16"/>
  <c r="H350" i="15"/>
  <c r="G526" i="16"/>
  <c r="H362" i="15"/>
  <c r="G546" i="16"/>
  <c r="G581" i="16"/>
  <c r="H401" i="15"/>
  <c r="G610" i="16"/>
  <c r="H472" i="15"/>
  <c r="G38" i="17"/>
  <c r="G97" i="16"/>
  <c r="H597" i="15"/>
  <c r="G296" i="16"/>
  <c r="H643" i="15"/>
  <c r="G229" i="16"/>
  <c r="H691" i="15"/>
  <c r="G371" i="16"/>
  <c r="H1000" i="15"/>
  <c r="G425" i="14" s="1"/>
  <c r="G424" i="14" s="1"/>
  <c r="G740" i="16"/>
  <c r="H262" i="15"/>
  <c r="G124" i="16"/>
  <c r="H296" i="15"/>
  <c r="G642" i="16"/>
  <c r="H352" i="15"/>
  <c r="G529" i="16"/>
  <c r="H387" i="15"/>
  <c r="G588" i="16"/>
  <c r="H600" i="15"/>
  <c r="G300" i="16"/>
  <c r="H1079" i="15"/>
  <c r="G418" i="16"/>
  <c r="H86" i="15"/>
  <c r="H441" i="16" s="1"/>
  <c r="G441" i="16"/>
  <c r="G875" i="16"/>
  <c r="F195" i="14"/>
  <c r="F194" i="14" s="1"/>
  <c r="F193" i="14" s="1"/>
  <c r="F192" i="14" s="1"/>
  <c r="H286" i="15"/>
  <c r="G625" i="16"/>
  <c r="G595" i="16"/>
  <c r="H456" i="15"/>
  <c r="G71" i="16"/>
  <c r="G20" i="17"/>
  <c r="G19" i="17" s="1"/>
  <c r="G18" i="17" s="1"/>
  <c r="G17" i="17" s="1"/>
  <c r="G16" i="17" s="1"/>
  <c r="G15" i="17" s="1"/>
  <c r="H583" i="15"/>
  <c r="G274" i="16"/>
  <c r="H1006" i="15"/>
  <c r="G748" i="16"/>
  <c r="H202" i="15"/>
  <c r="G449" i="16"/>
  <c r="H340" i="15"/>
  <c r="G55" i="16"/>
  <c r="G14" i="17"/>
  <c r="G13" i="17" s="1"/>
  <c r="G12" i="17" s="1"/>
  <c r="G11" i="17" s="1"/>
  <c r="G10" i="17" s="1"/>
  <c r="G9" i="17" s="1"/>
  <c r="H379" i="15"/>
  <c r="G574" i="16"/>
  <c r="H465" i="15"/>
  <c r="G86" i="16"/>
  <c r="H563" i="15"/>
  <c r="G200" i="16"/>
  <c r="H617" i="15"/>
  <c r="G882" i="16"/>
  <c r="H715" i="15"/>
  <c r="G250" i="16"/>
  <c r="H981" i="15"/>
  <c r="G711" i="16"/>
  <c r="H995" i="15"/>
  <c r="G733" i="16"/>
  <c r="G759" i="16"/>
  <c r="H545" i="15"/>
  <c r="H859" i="16" s="1"/>
  <c r="H858" i="16" s="1"/>
  <c r="H857" i="16" s="1"/>
  <c r="G859" i="16"/>
  <c r="H189" i="15"/>
  <c r="H403" i="16" s="1"/>
  <c r="G403" i="16"/>
  <c r="H225" i="15"/>
  <c r="H158" i="16" s="1"/>
  <c r="G158" i="16"/>
  <c r="H239" i="15"/>
  <c r="G855" i="16"/>
  <c r="H255" i="15"/>
  <c r="H113" i="16" s="1"/>
  <c r="H114" i="16" s="1"/>
  <c r="G113" i="16"/>
  <c r="H258" i="15"/>
  <c r="H117" i="16" s="1"/>
  <c r="H118" i="16" s="1"/>
  <c r="G117" i="16"/>
  <c r="H272" i="15"/>
  <c r="H139" i="16" s="1"/>
  <c r="H138" i="16" s="1"/>
  <c r="H137" i="16" s="1"/>
  <c r="G139" i="16"/>
  <c r="H128" i="16"/>
  <c r="H127" i="16" s="1"/>
  <c r="H126" i="16" s="1"/>
  <c r="G128" i="16"/>
  <c r="H269" i="15"/>
  <c r="H135" i="16" s="1"/>
  <c r="H136" i="16" s="1"/>
  <c r="G135" i="16"/>
  <c r="H580" i="15"/>
  <c r="H270" i="16" s="1"/>
  <c r="H271" i="16" s="1"/>
  <c r="G270" i="16"/>
  <c r="H587" i="15"/>
  <c r="H281" i="16" s="1"/>
  <c r="H282" i="16" s="1"/>
  <c r="G281" i="16"/>
  <c r="G684" i="16"/>
  <c r="G683" i="16" s="1"/>
  <c r="G682" i="16" s="1"/>
  <c r="G686" i="16"/>
  <c r="H327" i="16"/>
  <c r="H326" i="16" s="1"/>
  <c r="H325" i="16" s="1"/>
  <c r="G327" i="16"/>
  <c r="H684" i="15"/>
  <c r="H360" i="16" s="1"/>
  <c r="G360" i="16"/>
  <c r="G689" i="16"/>
  <c r="G688" i="16" s="1"/>
  <c r="G687" i="16" s="1"/>
  <c r="G691" i="16"/>
  <c r="H808" i="15"/>
  <c r="H492" i="16" s="1"/>
  <c r="H491" i="16" s="1"/>
  <c r="H490" i="16" s="1"/>
  <c r="G492" i="16"/>
  <c r="H801" i="15"/>
  <c r="H481" i="16" s="1"/>
  <c r="H480" i="16" s="1"/>
  <c r="H479" i="16" s="1"/>
  <c r="G481" i="16"/>
  <c r="H798" i="15"/>
  <c r="H477" i="16" s="1"/>
  <c r="H476" i="16" s="1"/>
  <c r="H475" i="16" s="1"/>
  <c r="G477" i="16"/>
  <c r="H884" i="15"/>
  <c r="H15" i="16" s="1"/>
  <c r="H14" i="16" s="1"/>
  <c r="H13" i="16" s="1"/>
  <c r="G15" i="16"/>
  <c r="H960" i="15"/>
  <c r="H821" i="16" s="1"/>
  <c r="H822" i="16" s="1"/>
  <c r="G821" i="16"/>
  <c r="H956" i="15"/>
  <c r="H814" i="16" s="1"/>
  <c r="H813" i="16" s="1"/>
  <c r="H812" i="16" s="1"/>
  <c r="H811" i="16" s="1"/>
  <c r="H810" i="16" s="1"/>
  <c r="H809" i="16" s="1"/>
  <c r="G814" i="16"/>
  <c r="H964" i="15"/>
  <c r="H828" i="16" s="1"/>
  <c r="H829" i="16" s="1"/>
  <c r="G828" i="16"/>
  <c r="H1003" i="15"/>
  <c r="H744" i="16" s="1"/>
  <c r="G744" i="16"/>
  <c r="H986" i="15"/>
  <c r="H718" i="16" s="1"/>
  <c r="H719" i="16" s="1"/>
  <c r="G718" i="16"/>
  <c r="H404" i="15"/>
  <c r="G614" i="16"/>
  <c r="H366" i="15"/>
  <c r="G553" i="16"/>
  <c r="H630" i="15"/>
  <c r="G184" i="16"/>
  <c r="H627" i="15"/>
  <c r="G180" i="16"/>
  <c r="H624" i="15"/>
  <c r="G176" i="16"/>
  <c r="H553" i="15"/>
  <c r="G167" i="16"/>
  <c r="H794" i="15"/>
  <c r="G470" i="16"/>
  <c r="H791" i="15"/>
  <c r="G466" i="16"/>
  <c r="H788" i="15"/>
  <c r="G462" i="16"/>
  <c r="H640" i="15"/>
  <c r="G225" i="16"/>
  <c r="H569" i="15"/>
  <c r="G208" i="16"/>
  <c r="H22" i="16"/>
  <c r="H358" i="15"/>
  <c r="G539" i="16"/>
  <c r="H356" i="15"/>
  <c r="H536" i="16" s="1"/>
  <c r="G536" i="16"/>
  <c r="H284" i="15"/>
  <c r="G622" i="16"/>
  <c r="H690" i="16"/>
  <c r="H605" i="15"/>
  <c r="H685" i="16" s="1"/>
  <c r="H247" i="15"/>
  <c r="H246" i="15" s="1"/>
  <c r="H245" i="15" s="1"/>
  <c r="H542" i="15"/>
  <c r="G912" i="5"/>
  <c r="I912" i="5" s="1"/>
  <c r="G896" i="5"/>
  <c r="I896" i="5" s="1"/>
  <c r="G762" i="5"/>
  <c r="I762" i="5" s="1"/>
  <c r="G740" i="5"/>
  <c r="I740" i="5" s="1"/>
  <c r="G20" i="6" l="1"/>
  <c r="I21" i="6"/>
  <c r="F819" i="14"/>
  <c r="G785" i="15"/>
  <c r="G282" i="15"/>
  <c r="F667" i="14"/>
  <c r="G837" i="16"/>
  <c r="F852" i="14"/>
  <c r="G902" i="14"/>
  <c r="G901" i="14" s="1"/>
  <c r="G900" i="14" s="1"/>
  <c r="H471" i="15"/>
  <c r="H470" i="15" s="1"/>
  <c r="H635" i="16"/>
  <c r="H636" i="16" s="1"/>
  <c r="G677" i="14"/>
  <c r="G676" i="14" s="1"/>
  <c r="G675" i="14" s="1"/>
  <c r="H291" i="15"/>
  <c r="H290" i="15" s="1"/>
  <c r="H902" i="16"/>
  <c r="H901" i="16" s="1"/>
  <c r="H900" i="16" s="1"/>
  <c r="H899" i="16" s="1"/>
  <c r="H898" i="16" s="1"/>
  <c r="G838" i="14"/>
  <c r="G837" i="14" s="1"/>
  <c r="G836" i="14" s="1"/>
  <c r="H413" i="15"/>
  <c r="H412" i="15" s="1"/>
  <c r="H847" i="16"/>
  <c r="H846" i="16" s="1"/>
  <c r="H845" i="16" s="1"/>
  <c r="G178" i="14"/>
  <c r="G177" i="14" s="1"/>
  <c r="G176" i="14" s="1"/>
  <c r="H921" i="16"/>
  <c r="H922" i="16" s="1"/>
  <c r="G199" i="14"/>
  <c r="G198" i="14" s="1"/>
  <c r="G197" i="14" s="1"/>
  <c r="H122" i="15"/>
  <c r="H121" i="15" s="1"/>
  <c r="H120" i="15" s="1"/>
  <c r="H485" i="16"/>
  <c r="H484" i="16" s="1"/>
  <c r="H483" i="16" s="1"/>
  <c r="H474" i="16" s="1"/>
  <c r="H473" i="16" s="1"/>
  <c r="H472" i="16" s="1"/>
  <c r="G947" i="14"/>
  <c r="G946" i="14" s="1"/>
  <c r="G945" i="14" s="1"/>
  <c r="G938" i="14" s="1"/>
  <c r="H803" i="15"/>
  <c r="H802" i="15" s="1"/>
  <c r="H237" i="16"/>
  <c r="H238" i="16" s="1"/>
  <c r="G582" i="14"/>
  <c r="G581" i="14" s="1"/>
  <c r="G580" i="14" s="1"/>
  <c r="H648" i="15"/>
  <c r="H647" i="15" s="1"/>
  <c r="H863" i="16"/>
  <c r="H864" i="16" s="1"/>
  <c r="G190" i="14"/>
  <c r="G189" i="14" s="1"/>
  <c r="G188" i="14" s="1"/>
  <c r="H241" i="15"/>
  <c r="H240" i="15" s="1"/>
  <c r="G923" i="14"/>
  <c r="G922" i="14" s="1"/>
  <c r="G921" i="14" s="1"/>
  <c r="H1060" i="15"/>
  <c r="H1059" i="15" s="1"/>
  <c r="H856" i="15"/>
  <c r="H855" i="15" s="1"/>
  <c r="G132" i="14"/>
  <c r="G131" i="14" s="1"/>
  <c r="G130" i="14" s="1"/>
  <c r="G984" i="14"/>
  <c r="G983" i="14" s="1"/>
  <c r="G982" i="14" s="1"/>
  <c r="H840" i="15"/>
  <c r="H839" i="15" s="1"/>
  <c r="G400" i="14"/>
  <c r="G399" i="14" s="1"/>
  <c r="G398" i="14" s="1"/>
  <c r="H974" i="15"/>
  <c r="H973" i="15" s="1"/>
  <c r="G849" i="14"/>
  <c r="G848" i="14" s="1"/>
  <c r="G847" i="14" s="1"/>
  <c r="H424" i="15"/>
  <c r="H423" i="15" s="1"/>
  <c r="H208" i="16"/>
  <c r="H207" i="16" s="1"/>
  <c r="H206" i="16" s="1"/>
  <c r="G502" i="14"/>
  <c r="G501" i="14" s="1"/>
  <c r="G500" i="14" s="1"/>
  <c r="H568" i="15"/>
  <c r="H567" i="15" s="1"/>
  <c r="H167" i="16"/>
  <c r="H166" i="16" s="1"/>
  <c r="H165" i="16" s="1"/>
  <c r="G486" i="14"/>
  <c r="G485" i="14" s="1"/>
  <c r="G484" i="14" s="1"/>
  <c r="H552" i="15"/>
  <c r="H551" i="15" s="1"/>
  <c r="H550" i="15" s="1"/>
  <c r="H855" i="16"/>
  <c r="H854" i="16" s="1"/>
  <c r="H853" i="16" s="1"/>
  <c r="G184" i="14"/>
  <c r="G183" i="14" s="1"/>
  <c r="G182" i="14" s="1"/>
  <c r="H759" i="16"/>
  <c r="H760" i="16" s="1"/>
  <c r="H1012" i="15"/>
  <c r="H1011" i="15" s="1"/>
  <c r="G438" i="14"/>
  <c r="G437" i="14" s="1"/>
  <c r="G436" i="14" s="1"/>
  <c r="H882" i="16"/>
  <c r="H883" i="16" s="1"/>
  <c r="G550" i="14"/>
  <c r="G549" i="14" s="1"/>
  <c r="G548" i="14" s="1"/>
  <c r="H616" i="15"/>
  <c r="H615" i="15" s="1"/>
  <c r="H574" i="16"/>
  <c r="H573" i="16" s="1"/>
  <c r="G803" i="14"/>
  <c r="G802" i="14" s="1"/>
  <c r="G886" i="14"/>
  <c r="G885" i="14" s="1"/>
  <c r="G884" i="14" s="1"/>
  <c r="H455" i="15"/>
  <c r="H454" i="15" s="1"/>
  <c r="H300" i="16"/>
  <c r="H301" i="16" s="1"/>
  <c r="G533" i="14"/>
  <c r="G532" i="14" s="1"/>
  <c r="G531" i="14" s="1"/>
  <c r="H599" i="15"/>
  <c r="H598" i="15" s="1"/>
  <c r="H529" i="16"/>
  <c r="H530" i="16" s="1"/>
  <c r="G776" i="14"/>
  <c r="G775" i="14" s="1"/>
  <c r="H351" i="15"/>
  <c r="H124" i="16"/>
  <c r="H125" i="16" s="1"/>
  <c r="G293" i="14"/>
  <c r="G292" i="14" s="1"/>
  <c r="G291" i="14" s="1"/>
  <c r="H261" i="15"/>
  <c r="H260" i="15" s="1"/>
  <c r="H296" i="16"/>
  <c r="H295" i="16" s="1"/>
  <c r="H294" i="16" s="1"/>
  <c r="G530" i="14"/>
  <c r="G529" i="14" s="1"/>
  <c r="G528" i="14" s="1"/>
  <c r="H596" i="15"/>
  <c r="H595" i="15" s="1"/>
  <c r="H1089" i="15"/>
  <c r="G35" i="14"/>
  <c r="G34" i="14" s="1"/>
  <c r="G748" i="14"/>
  <c r="G747" i="14" s="1"/>
  <c r="G746" i="14" s="1"/>
  <c r="H755" i="15"/>
  <c r="H754" i="15" s="1"/>
  <c r="G844" i="14"/>
  <c r="G843" i="14" s="1"/>
  <c r="G842" i="14" s="1"/>
  <c r="H419" i="15"/>
  <c r="H418" i="15" s="1"/>
  <c r="G874" i="14"/>
  <c r="G873" i="14" s="1"/>
  <c r="G872" i="14" s="1"/>
  <c r="H195" i="15"/>
  <c r="H194" i="15" s="1"/>
  <c r="H193" i="15" s="1"/>
  <c r="H192" i="15" s="1"/>
  <c r="H191" i="15" s="1"/>
  <c r="G468" i="14"/>
  <c r="G467" i="14" s="1"/>
  <c r="H1042" i="15"/>
  <c r="G854" i="14"/>
  <c r="G853" i="14" s="1"/>
  <c r="H429" i="15"/>
  <c r="G861" i="14"/>
  <c r="G860" i="14" s="1"/>
  <c r="G859" i="14" s="1"/>
  <c r="H436" i="15"/>
  <c r="H435" i="15" s="1"/>
  <c r="H622" i="16"/>
  <c r="H623" i="16" s="1"/>
  <c r="G669" i="14"/>
  <c r="G668" i="14" s="1"/>
  <c r="H283" i="15"/>
  <c r="H539" i="16"/>
  <c r="H540" i="16" s="1"/>
  <c r="G782" i="14"/>
  <c r="G781" i="14" s="1"/>
  <c r="G778" i="14" s="1"/>
  <c r="H357" i="15"/>
  <c r="H354" i="15" s="1"/>
  <c r="H449" i="16"/>
  <c r="H448" i="16" s="1"/>
  <c r="H447" i="16" s="1"/>
  <c r="G907" i="14"/>
  <c r="G906" i="14" s="1"/>
  <c r="G905" i="14" s="1"/>
  <c r="H201" i="15"/>
  <c r="H200" i="15" s="1"/>
  <c r="H274" i="16"/>
  <c r="H275" i="16" s="1"/>
  <c r="G516" i="14"/>
  <c r="G515" i="14" s="1"/>
  <c r="G514" i="14" s="1"/>
  <c r="H582" i="15"/>
  <c r="H581" i="15" s="1"/>
  <c r="H610" i="16"/>
  <c r="H611" i="16" s="1"/>
  <c r="G825" i="14"/>
  <c r="G824" i="14" s="1"/>
  <c r="G823" i="14" s="1"/>
  <c r="H400" i="15"/>
  <c r="H399" i="15" s="1"/>
  <c r="H546" i="16"/>
  <c r="H545" i="16" s="1"/>
  <c r="H544" i="16" s="1"/>
  <c r="H541" i="16" s="1"/>
  <c r="G786" i="14"/>
  <c r="G785" i="14" s="1"/>
  <c r="G784" i="14" s="1"/>
  <c r="H361" i="15"/>
  <c r="H360" i="15" s="1"/>
  <c r="H34" i="16"/>
  <c r="H33" i="16" s="1"/>
  <c r="H32" i="16" s="1"/>
  <c r="G715" i="14"/>
  <c r="G714" i="14" s="1"/>
  <c r="G713" i="14" s="1"/>
  <c r="H326" i="15"/>
  <c r="H325" i="15" s="1"/>
  <c r="H628" i="16"/>
  <c r="H629" i="16" s="1"/>
  <c r="G673" i="14"/>
  <c r="G672" i="14" s="1"/>
  <c r="H287" i="15"/>
  <c r="H778" i="16"/>
  <c r="H777" i="16" s="1"/>
  <c r="H776" i="16" s="1"/>
  <c r="H775" i="16" s="1"/>
  <c r="H774" i="16" s="1"/>
  <c r="H773" i="16" s="1"/>
  <c r="G254" i="14"/>
  <c r="G253" i="14" s="1"/>
  <c r="G252" i="14" s="1"/>
  <c r="G251" i="14" s="1"/>
  <c r="H172" i="15"/>
  <c r="H171" i="15" s="1"/>
  <c r="H887" i="16"/>
  <c r="H886" i="16" s="1"/>
  <c r="H885" i="16" s="1"/>
  <c r="H884" i="16" s="1"/>
  <c r="G634" i="14"/>
  <c r="G633" i="14" s="1"/>
  <c r="G632" i="14" s="1"/>
  <c r="H700" i="15"/>
  <c r="H699" i="15" s="1"/>
  <c r="H571" i="16"/>
  <c r="H572" i="16" s="1"/>
  <c r="G801" i="14"/>
  <c r="G800" i="14" s="1"/>
  <c r="H652" i="16"/>
  <c r="H653" i="16" s="1"/>
  <c r="G687" i="14"/>
  <c r="G686" i="14" s="1"/>
  <c r="G685" i="14" s="1"/>
  <c r="H301" i="15"/>
  <c r="H300" i="15" s="1"/>
  <c r="H767" i="16"/>
  <c r="H768" i="16" s="1"/>
  <c r="G247" i="14"/>
  <c r="G246" i="14" s="1"/>
  <c r="G245" i="14" s="1"/>
  <c r="H165" i="15"/>
  <c r="H164" i="15" s="1"/>
  <c r="H725" i="16"/>
  <c r="H724" i="16" s="1"/>
  <c r="H723" i="16" s="1"/>
  <c r="H989" i="15"/>
  <c r="H988" i="15" s="1"/>
  <c r="G415" i="14"/>
  <c r="G414" i="14" s="1"/>
  <c r="G413" i="14" s="1"/>
  <c r="H892" i="16"/>
  <c r="H891" i="16" s="1"/>
  <c r="H890" i="16" s="1"/>
  <c r="H889" i="16" s="1"/>
  <c r="G708" i="14"/>
  <c r="G707" i="14" s="1"/>
  <c r="G706" i="14" s="1"/>
  <c r="H734" i="15"/>
  <c r="H733" i="15" s="1"/>
  <c r="H437" i="16"/>
  <c r="H436" i="16" s="1"/>
  <c r="H435" i="16" s="1"/>
  <c r="G93" i="14"/>
  <c r="G92" i="14" s="1"/>
  <c r="G91" i="14" s="1"/>
  <c r="H82" i="15"/>
  <c r="H81" i="15" s="1"/>
  <c r="G118" i="14"/>
  <c r="G117" i="14" s="1"/>
  <c r="G116" i="14" s="1"/>
  <c r="H22" i="15"/>
  <c r="H21" i="15" s="1"/>
  <c r="G856" i="14"/>
  <c r="G855" i="14" s="1"/>
  <c r="H431" i="15"/>
  <c r="H1073" i="15"/>
  <c r="H1072" i="15" s="1"/>
  <c r="G19" i="14"/>
  <c r="G18" i="14" s="1"/>
  <c r="G764" i="14"/>
  <c r="G763" i="14" s="1"/>
  <c r="G762" i="14" s="1"/>
  <c r="H771" i="15"/>
  <c r="H770" i="15" s="1"/>
  <c r="G158" i="14"/>
  <c r="G157" i="14" s="1"/>
  <c r="G156" i="14" s="1"/>
  <c r="H113" i="15"/>
  <c r="H112" i="15" s="1"/>
  <c r="G728" i="14"/>
  <c r="G727" i="14" s="1"/>
  <c r="G726" i="14" s="1"/>
  <c r="H339" i="15"/>
  <c r="H338" i="15" s="1"/>
  <c r="H748" i="16"/>
  <c r="H749" i="16" s="1"/>
  <c r="H1005" i="15"/>
  <c r="H1004" i="15" s="1"/>
  <c r="G431" i="14"/>
  <c r="G430" i="14" s="1"/>
  <c r="G429" i="14" s="1"/>
  <c r="H581" i="16"/>
  <c r="H580" i="16" s="1"/>
  <c r="H579" i="16" s="1"/>
  <c r="G807" i="14"/>
  <c r="G806" i="14" s="1"/>
  <c r="G805" i="14" s="1"/>
  <c r="H382" i="15"/>
  <c r="H381" i="15" s="1"/>
  <c r="H526" i="16"/>
  <c r="H527" i="16" s="1"/>
  <c r="G774" i="14"/>
  <c r="G773" i="14" s="1"/>
  <c r="H349" i="15"/>
  <c r="H427" i="16"/>
  <c r="H426" i="16" s="1"/>
  <c r="G87" i="14"/>
  <c r="G86" i="14" s="1"/>
  <c r="H76" i="15"/>
  <c r="G705" i="14"/>
  <c r="G704" i="14" s="1"/>
  <c r="G703" i="14" s="1"/>
  <c r="H319" i="15"/>
  <c r="H318" i="15" s="1"/>
  <c r="H48" i="16"/>
  <c r="H47" i="16" s="1"/>
  <c r="G724" i="14"/>
  <c r="G723" i="14" s="1"/>
  <c r="H335" i="15"/>
  <c r="H91" i="15"/>
  <c r="H90" i="15" s="1"/>
  <c r="H390" i="15"/>
  <c r="H389" i="15" s="1"/>
  <c r="G815" i="14"/>
  <c r="G814" i="14" s="1"/>
  <c r="G813" i="14" s="1"/>
  <c r="G115" i="14"/>
  <c r="G114" i="14" s="1"/>
  <c r="H19" i="15"/>
  <c r="H1047" i="15"/>
  <c r="H1046" i="15" s="1"/>
  <c r="G473" i="14"/>
  <c r="G472" i="14" s="1"/>
  <c r="G471" i="14" s="1"/>
  <c r="G48" i="14"/>
  <c r="G47" i="14" s="1"/>
  <c r="H40" i="15"/>
  <c r="G449" i="14"/>
  <c r="G448" i="14" s="1"/>
  <c r="H1023" i="15"/>
  <c r="H836" i="16"/>
  <c r="H837" i="16" s="1"/>
  <c r="H541" i="15"/>
  <c r="H540" i="15" s="1"/>
  <c r="G172" i="14"/>
  <c r="G171" i="14" s="1"/>
  <c r="G170" i="14" s="1"/>
  <c r="H462" i="16"/>
  <c r="H461" i="16" s="1"/>
  <c r="H460" i="16" s="1"/>
  <c r="G931" i="14"/>
  <c r="G930" i="14" s="1"/>
  <c r="G929" i="14" s="1"/>
  <c r="H787" i="15"/>
  <c r="H786" i="15" s="1"/>
  <c r="H470" i="16"/>
  <c r="H469" i="16" s="1"/>
  <c r="H468" i="16" s="1"/>
  <c r="G937" i="14"/>
  <c r="G936" i="14" s="1"/>
  <c r="G935" i="14" s="1"/>
  <c r="H793" i="15"/>
  <c r="H792" i="15" s="1"/>
  <c r="H180" i="16"/>
  <c r="H181" i="16" s="1"/>
  <c r="G560" i="14"/>
  <c r="G559" i="14" s="1"/>
  <c r="G558" i="14" s="1"/>
  <c r="H626" i="15"/>
  <c r="H625" i="15" s="1"/>
  <c r="H711" i="16"/>
  <c r="H710" i="16" s="1"/>
  <c r="H709" i="16" s="1"/>
  <c r="H980" i="15"/>
  <c r="H979" i="15" s="1"/>
  <c r="G406" i="14"/>
  <c r="G405" i="14" s="1"/>
  <c r="G404" i="14" s="1"/>
  <c r="H625" i="16"/>
  <c r="H626" i="16" s="1"/>
  <c r="G671" i="14"/>
  <c r="G670" i="14" s="1"/>
  <c r="H285" i="15"/>
  <c r="H371" i="16"/>
  <c r="H372" i="16" s="1"/>
  <c r="G624" i="14"/>
  <c r="G623" i="14" s="1"/>
  <c r="G622" i="14" s="1"/>
  <c r="G621" i="14" s="1"/>
  <c r="H690" i="15"/>
  <c r="H689" i="15" s="1"/>
  <c r="G573" i="14"/>
  <c r="G572" i="14" s="1"/>
  <c r="G571" i="14" s="1"/>
  <c r="H639" i="15"/>
  <c r="H638" i="15" s="1"/>
  <c r="H466" i="16"/>
  <c r="H467" i="16" s="1"/>
  <c r="G934" i="14"/>
  <c r="G933" i="14" s="1"/>
  <c r="G932" i="14" s="1"/>
  <c r="H790" i="15"/>
  <c r="H789" i="15" s="1"/>
  <c r="H172" i="16"/>
  <c r="G488" i="14"/>
  <c r="G487" i="14" s="1"/>
  <c r="H176" i="16"/>
  <c r="H175" i="16" s="1"/>
  <c r="H174" i="16" s="1"/>
  <c r="G557" i="14"/>
  <c r="G556" i="14" s="1"/>
  <c r="G555" i="14" s="1"/>
  <c r="H623" i="15"/>
  <c r="H622" i="15" s="1"/>
  <c r="H184" i="16"/>
  <c r="H183" i="16" s="1"/>
  <c r="H182" i="16" s="1"/>
  <c r="G563" i="14"/>
  <c r="G562" i="14" s="1"/>
  <c r="G561" i="14" s="1"/>
  <c r="H629" i="15"/>
  <c r="H628" i="15" s="1"/>
  <c r="H733" i="16"/>
  <c r="H732" i="16" s="1"/>
  <c r="H731" i="16" s="1"/>
  <c r="H994" i="15"/>
  <c r="H993" i="15" s="1"/>
  <c r="G420" i="14"/>
  <c r="G419" i="14" s="1"/>
  <c r="G418" i="14" s="1"/>
  <c r="H86" i="16"/>
  <c r="H87" i="16" s="1"/>
  <c r="G895" i="14"/>
  <c r="G894" i="14" s="1"/>
  <c r="G893" i="14" s="1"/>
  <c r="G892" i="14" s="1"/>
  <c r="H464" i="15"/>
  <c r="H463" i="15" s="1"/>
  <c r="H595" i="16"/>
  <c r="H594" i="16" s="1"/>
  <c r="H593" i="16" s="1"/>
  <c r="H418" i="16"/>
  <c r="H417" i="16" s="1"/>
  <c r="H416" i="16" s="1"/>
  <c r="H1078" i="15"/>
  <c r="H1077" i="15" s="1"/>
  <c r="G24" i="14"/>
  <c r="G23" i="14" s="1"/>
  <c r="G22" i="14" s="1"/>
  <c r="H588" i="16"/>
  <c r="H589" i="16" s="1"/>
  <c r="G811" i="14"/>
  <c r="G810" i="14" s="1"/>
  <c r="G809" i="14" s="1"/>
  <c r="H386" i="15"/>
  <c r="H385" i="15" s="1"/>
  <c r="H642" i="16"/>
  <c r="H641" i="16" s="1"/>
  <c r="G681" i="14"/>
  <c r="G680" i="14" s="1"/>
  <c r="G679" i="14" s="1"/>
  <c r="H295" i="15"/>
  <c r="H294" i="15" s="1"/>
  <c r="G456" i="14"/>
  <c r="G455" i="14" s="1"/>
  <c r="G454" i="14" s="1"/>
  <c r="H1030" i="15"/>
  <c r="H1029" i="15" s="1"/>
  <c r="G858" i="14"/>
  <c r="G857" i="14" s="1"/>
  <c r="H433" i="15"/>
  <c r="G56" i="14"/>
  <c r="G55" i="14" s="1"/>
  <c r="G54" i="14" s="1"/>
  <c r="H48" i="15"/>
  <c r="H47" i="15" s="1"/>
  <c r="G240" i="14"/>
  <c r="G239" i="14" s="1"/>
  <c r="G238" i="14" s="1"/>
  <c r="H158" i="15"/>
  <c r="H157" i="15" s="1"/>
  <c r="H1103" i="15"/>
  <c r="H1102" i="15" s="1"/>
  <c r="G107" i="14"/>
  <c r="G106" i="14" s="1"/>
  <c r="G105" i="14" s="1"/>
  <c r="G451" i="14"/>
  <c r="G450" i="14" s="1"/>
  <c r="H1025" i="15"/>
  <c r="H393" i="15"/>
  <c r="H392" i="15" s="1"/>
  <c r="G818" i="14"/>
  <c r="G817" i="14" s="1"/>
  <c r="G816" i="14" s="1"/>
  <c r="H1100" i="15"/>
  <c r="G104" i="14"/>
  <c r="G103" i="14" s="1"/>
  <c r="H828" i="15"/>
  <c r="H827" i="15" s="1"/>
  <c r="G972" i="14"/>
  <c r="G971" i="14" s="1"/>
  <c r="G970" i="14" s="1"/>
  <c r="G428" i="15"/>
  <c r="G16" i="14"/>
  <c r="G15" i="14" s="1"/>
  <c r="H1070" i="15"/>
  <c r="G228" i="14"/>
  <c r="G227" i="14" s="1"/>
  <c r="G226" i="14" s="1"/>
  <c r="H146" i="15"/>
  <c r="H145" i="15" s="1"/>
  <c r="H553" i="16"/>
  <c r="H554" i="16" s="1"/>
  <c r="H365" i="15"/>
  <c r="H364" i="15" s="1"/>
  <c r="G790" i="14"/>
  <c r="G789" i="14" s="1"/>
  <c r="G788" i="14" s="1"/>
  <c r="H614" i="16"/>
  <c r="H615" i="16" s="1"/>
  <c r="H403" i="15"/>
  <c r="H402" i="15" s="1"/>
  <c r="G828" i="14"/>
  <c r="G827" i="14" s="1"/>
  <c r="G826" i="14" s="1"/>
  <c r="H229" i="16"/>
  <c r="H230" i="16" s="1"/>
  <c r="G576" i="14"/>
  <c r="G575" i="14" s="1"/>
  <c r="G574" i="14" s="1"/>
  <c r="H642" i="15"/>
  <c r="H641" i="15" s="1"/>
  <c r="H250" i="16"/>
  <c r="H251" i="16" s="1"/>
  <c r="G648" i="14"/>
  <c r="G647" i="14" s="1"/>
  <c r="G646" i="14" s="1"/>
  <c r="H714" i="15"/>
  <c r="H713" i="15" s="1"/>
  <c r="H200" i="16"/>
  <c r="H199" i="16" s="1"/>
  <c r="H198" i="16" s="1"/>
  <c r="H562" i="15"/>
  <c r="H561" i="15" s="1"/>
  <c r="G496" i="14"/>
  <c r="G495" i="14" s="1"/>
  <c r="G494" i="14" s="1"/>
  <c r="H740" i="16"/>
  <c r="H741" i="16" s="1"/>
  <c r="H999" i="15"/>
  <c r="H851" i="16"/>
  <c r="H850" i="16" s="1"/>
  <c r="H849" i="16" s="1"/>
  <c r="H235" i="15"/>
  <c r="H234" i="15" s="1"/>
  <c r="H225" i="16"/>
  <c r="H224" i="16" s="1"/>
  <c r="H223" i="16" s="1"/>
  <c r="G341" i="14"/>
  <c r="G340" i="14" s="1"/>
  <c r="G339" i="14" s="1"/>
  <c r="H37" i="16"/>
  <c r="H36" i="16" s="1"/>
  <c r="H269" i="16"/>
  <c r="H268" i="16" s="1"/>
  <c r="H116" i="16"/>
  <c r="H115" i="16" s="1"/>
  <c r="H717" i="16"/>
  <c r="G681" i="16"/>
  <c r="G674" i="16" s="1"/>
  <c r="G673" i="16" s="1"/>
  <c r="H493" i="16"/>
  <c r="H134" i="16"/>
  <c r="H133" i="16" s="1"/>
  <c r="H132" i="16" s="1"/>
  <c r="H131" i="16" s="1"/>
  <c r="H280" i="16"/>
  <c r="H279" i="16" s="1"/>
  <c r="H16" i="16"/>
  <c r="H112" i="16"/>
  <c r="H111" i="16" s="1"/>
  <c r="H860" i="16"/>
  <c r="H482" i="16"/>
  <c r="H820" i="16"/>
  <c r="H819" i="16" s="1"/>
  <c r="H818" i="16" s="1"/>
  <c r="H817" i="16" s="1"/>
  <c r="H816" i="16" s="1"/>
  <c r="G874" i="16"/>
  <c r="G873" i="16" s="1"/>
  <c r="G868" i="16" s="1"/>
  <c r="G867" i="16" s="1"/>
  <c r="G866" i="16" s="1"/>
  <c r="G876" i="16"/>
  <c r="G525" i="16"/>
  <c r="G527" i="16"/>
  <c r="G426" i="16"/>
  <c r="G428" i="16"/>
  <c r="G850" i="16"/>
  <c r="G849" i="16" s="1"/>
  <c r="G852" i="16"/>
  <c r="G903" i="16"/>
  <c r="G901" i="16"/>
  <c r="G900" i="16" s="1"/>
  <c r="G899" i="16" s="1"/>
  <c r="G898" i="16" s="1"/>
  <c r="G846" i="16"/>
  <c r="G845" i="16" s="1"/>
  <c r="G848" i="16"/>
  <c r="G238" i="16"/>
  <c r="G236" i="16"/>
  <c r="G235" i="16" s="1"/>
  <c r="H55" i="16"/>
  <c r="H14" i="17"/>
  <c r="H13" i="17" s="1"/>
  <c r="H12" i="17" s="1"/>
  <c r="H11" i="17" s="1"/>
  <c r="H10" i="17" s="1"/>
  <c r="H9" i="17" s="1"/>
  <c r="G70" i="16"/>
  <c r="G69" i="16" s="1"/>
  <c r="G68" i="16" s="1"/>
  <c r="G67" i="16" s="1"/>
  <c r="G72" i="16"/>
  <c r="G301" i="16"/>
  <c r="G299" i="16"/>
  <c r="G298" i="16" s="1"/>
  <c r="G125" i="16"/>
  <c r="G123" i="16"/>
  <c r="G122" i="16" s="1"/>
  <c r="G297" i="16"/>
  <c r="G295" i="16"/>
  <c r="G294" i="16" s="1"/>
  <c r="H38" i="17"/>
  <c r="H97" i="16"/>
  <c r="H754" i="16"/>
  <c r="H753" i="16" s="1"/>
  <c r="H756" i="16"/>
  <c r="H328" i="16"/>
  <c r="H815" i="16"/>
  <c r="G448" i="16"/>
  <c r="G447" i="16" s="1"/>
  <c r="G450" i="16"/>
  <c r="G275" i="16"/>
  <c r="G273" i="16"/>
  <c r="G272" i="16" s="1"/>
  <c r="H20" i="17"/>
  <c r="H19" i="17" s="1"/>
  <c r="H18" i="17" s="1"/>
  <c r="H17" i="17" s="1"/>
  <c r="H16" i="17" s="1"/>
  <c r="H15" i="17" s="1"/>
  <c r="H71" i="16"/>
  <c r="H440" i="16"/>
  <c r="H439" i="16" s="1"/>
  <c r="H442" i="16"/>
  <c r="G611" i="16"/>
  <c r="G609" i="16"/>
  <c r="G608" i="16" s="1"/>
  <c r="G545" i="16"/>
  <c r="G544" i="16" s="1"/>
  <c r="G541" i="16" s="1"/>
  <c r="G547" i="16"/>
  <c r="G35" i="16"/>
  <c r="G33" i="16"/>
  <c r="G32" i="16" s="1"/>
  <c r="G398" i="16"/>
  <c r="G397" i="16" s="1"/>
  <c r="G400" i="16"/>
  <c r="G598" i="16"/>
  <c r="G597" i="16" s="1"/>
  <c r="G600" i="16"/>
  <c r="G627" i="16"/>
  <c r="G629" i="16"/>
  <c r="G779" i="16"/>
  <c r="G777" i="16"/>
  <c r="G776" i="16" s="1"/>
  <c r="G775" i="16" s="1"/>
  <c r="G774" i="16" s="1"/>
  <c r="G773" i="16" s="1"/>
  <c r="G886" i="16"/>
  <c r="G885" i="16" s="1"/>
  <c r="G884" i="16" s="1"/>
  <c r="G888" i="16"/>
  <c r="G570" i="16"/>
  <c r="G572" i="16"/>
  <c r="G651" i="16"/>
  <c r="G650" i="16" s="1"/>
  <c r="G653" i="16"/>
  <c r="G766" i="16"/>
  <c r="G765" i="16" s="1"/>
  <c r="G768" i="16"/>
  <c r="G726" i="16"/>
  <c r="G724" i="16"/>
  <c r="G723" i="16" s="1"/>
  <c r="G893" i="16"/>
  <c r="G891" i="16"/>
  <c r="G890" i="16" s="1"/>
  <c r="G889" i="16" s="1"/>
  <c r="G37" i="16"/>
  <c r="G36" i="16" s="1"/>
  <c r="G39" i="16"/>
  <c r="G436" i="16"/>
  <c r="G435" i="16" s="1"/>
  <c r="G438" i="16"/>
  <c r="H875" i="16"/>
  <c r="G195" i="14"/>
  <c r="G54" i="16"/>
  <c r="G53" i="16" s="1"/>
  <c r="G56" i="16"/>
  <c r="G749" i="16"/>
  <c r="G747" i="16"/>
  <c r="G746" i="16" s="1"/>
  <c r="G582" i="16"/>
  <c r="G580" i="16"/>
  <c r="G579" i="16" s="1"/>
  <c r="G636" i="16"/>
  <c r="G634" i="16"/>
  <c r="G633" i="16" s="1"/>
  <c r="G754" i="16"/>
  <c r="G753" i="16" s="1"/>
  <c r="G756" i="16"/>
  <c r="G49" i="16"/>
  <c r="G47" i="16"/>
  <c r="G922" i="16"/>
  <c r="G920" i="16"/>
  <c r="G919" i="16" s="1"/>
  <c r="G918" i="16" s="1"/>
  <c r="G917" i="16" s="1"/>
  <c r="G916" i="16" s="1"/>
  <c r="G484" i="16"/>
  <c r="G483" i="16" s="1"/>
  <c r="G486" i="16"/>
  <c r="G862" i="16"/>
  <c r="G861" i="16" s="1"/>
  <c r="G864" i="16"/>
  <c r="H140" i="16"/>
  <c r="G758" i="16"/>
  <c r="G757" i="16" s="1"/>
  <c r="G760" i="16"/>
  <c r="G710" i="16"/>
  <c r="G709" i="16" s="1"/>
  <c r="G712" i="16"/>
  <c r="G883" i="16"/>
  <c r="G881" i="16"/>
  <c r="G880" i="16" s="1"/>
  <c r="G879" i="16" s="1"/>
  <c r="G575" i="16"/>
  <c r="G573" i="16"/>
  <c r="G624" i="16"/>
  <c r="G626" i="16"/>
  <c r="G440" i="16"/>
  <c r="G439" i="16" s="1"/>
  <c r="G442" i="16"/>
  <c r="G528" i="16"/>
  <c r="G530" i="16"/>
  <c r="G370" i="16"/>
  <c r="G369" i="16" s="1"/>
  <c r="G372" i="16"/>
  <c r="G734" i="16"/>
  <c r="G732" i="16"/>
  <c r="G731" i="16" s="1"/>
  <c r="G251" i="16"/>
  <c r="G249" i="16"/>
  <c r="G248" i="16" s="1"/>
  <c r="G201" i="16"/>
  <c r="G199" i="16"/>
  <c r="G198" i="16" s="1"/>
  <c r="G85" i="16"/>
  <c r="G84" i="16" s="1"/>
  <c r="G87" i="16"/>
  <c r="G596" i="16"/>
  <c r="G594" i="16"/>
  <c r="G593" i="16" s="1"/>
  <c r="G419" i="16"/>
  <c r="G417" i="16"/>
  <c r="G416" i="16" s="1"/>
  <c r="G589" i="16"/>
  <c r="G587" i="16"/>
  <c r="G586" i="16" s="1"/>
  <c r="G641" i="16"/>
  <c r="G643" i="16"/>
  <c r="G741" i="16"/>
  <c r="G739" i="16"/>
  <c r="G228" i="16"/>
  <c r="G227" i="16" s="1"/>
  <c r="G230" i="16"/>
  <c r="G98" i="16"/>
  <c r="G96" i="16"/>
  <c r="G95" i="16" s="1"/>
  <c r="G94" i="16" s="1"/>
  <c r="G93" i="16" s="1"/>
  <c r="H398" i="16"/>
  <c r="H397" i="16" s="1"/>
  <c r="H400" i="16"/>
  <c r="H600" i="16"/>
  <c r="H598" i="16"/>
  <c r="H597" i="16" s="1"/>
  <c r="G858" i="16"/>
  <c r="G857" i="16" s="1"/>
  <c r="G860" i="16"/>
  <c r="G402" i="16"/>
  <c r="G401" i="16" s="1"/>
  <c r="G404" i="16"/>
  <c r="H402" i="16"/>
  <c r="H401" i="16" s="1"/>
  <c r="H404" i="16"/>
  <c r="G159" i="16"/>
  <c r="G157" i="16"/>
  <c r="G156" i="16" s="1"/>
  <c r="H157" i="16"/>
  <c r="H156" i="16" s="1"/>
  <c r="H159" i="16"/>
  <c r="G854" i="16"/>
  <c r="G853" i="16" s="1"/>
  <c r="G856" i="16"/>
  <c r="G112" i="16"/>
  <c r="G111" i="16" s="1"/>
  <c r="G114" i="16"/>
  <c r="G118" i="16"/>
  <c r="G116" i="16"/>
  <c r="G115" i="16" s="1"/>
  <c r="G134" i="16"/>
  <c r="G133" i="16" s="1"/>
  <c r="G136" i="16"/>
  <c r="G138" i="16"/>
  <c r="G137" i="16" s="1"/>
  <c r="G140" i="16"/>
  <c r="H129" i="16"/>
  <c r="G129" i="16"/>
  <c r="G127" i="16"/>
  <c r="G126" i="16" s="1"/>
  <c r="G271" i="16"/>
  <c r="G269" i="16"/>
  <c r="G268" i="16" s="1"/>
  <c r="G282" i="16"/>
  <c r="G280" i="16"/>
  <c r="G279" i="16" s="1"/>
  <c r="H686" i="16"/>
  <c r="H684" i="16"/>
  <c r="H683" i="16" s="1"/>
  <c r="H682" i="16" s="1"/>
  <c r="G326" i="16"/>
  <c r="G325" i="16" s="1"/>
  <c r="G328" i="16"/>
  <c r="G359" i="16"/>
  <c r="G358" i="16" s="1"/>
  <c r="G361" i="16"/>
  <c r="H359" i="16"/>
  <c r="H358" i="16" s="1"/>
  <c r="H361" i="16"/>
  <c r="G493" i="16"/>
  <c r="G491" i="16"/>
  <c r="G490" i="16" s="1"/>
  <c r="G476" i="16"/>
  <c r="G475" i="16" s="1"/>
  <c r="G478" i="16"/>
  <c r="H478" i="16"/>
  <c r="G480" i="16"/>
  <c r="G479" i="16" s="1"/>
  <c r="G482" i="16"/>
  <c r="G14" i="16"/>
  <c r="G13" i="16" s="1"/>
  <c r="G16" i="16"/>
  <c r="G815" i="16"/>
  <c r="G813" i="16"/>
  <c r="G812" i="16" s="1"/>
  <c r="G811" i="16" s="1"/>
  <c r="G810" i="16" s="1"/>
  <c r="G809" i="16" s="1"/>
  <c r="H827" i="16"/>
  <c r="H826" i="16" s="1"/>
  <c r="H825" i="16" s="1"/>
  <c r="H824" i="16" s="1"/>
  <c r="H823" i="16" s="1"/>
  <c r="G829" i="16"/>
  <c r="G827" i="16"/>
  <c r="G826" i="16" s="1"/>
  <c r="G825" i="16" s="1"/>
  <c r="G824" i="16" s="1"/>
  <c r="G823" i="16" s="1"/>
  <c r="G822" i="16"/>
  <c r="G820" i="16"/>
  <c r="G819" i="16" s="1"/>
  <c r="G818" i="16" s="1"/>
  <c r="G817" i="16" s="1"/>
  <c r="G816" i="16" s="1"/>
  <c r="G745" i="16"/>
  <c r="G743" i="16"/>
  <c r="G742" i="16" s="1"/>
  <c r="H745" i="16"/>
  <c r="H743" i="16"/>
  <c r="H742" i="16" s="1"/>
  <c r="G719" i="16"/>
  <c r="G717" i="16"/>
  <c r="G613" i="16"/>
  <c r="G612" i="16" s="1"/>
  <c r="G615" i="16"/>
  <c r="G554" i="16"/>
  <c r="G552" i="16"/>
  <c r="G551" i="16" s="1"/>
  <c r="H10" i="16"/>
  <c r="H12" i="16"/>
  <c r="H11" i="16" s="1"/>
  <c r="H689" i="16"/>
  <c r="H688" i="16" s="1"/>
  <c r="H687" i="16" s="1"/>
  <c r="H691" i="16"/>
  <c r="G183" i="16"/>
  <c r="G182" i="16" s="1"/>
  <c r="G185" i="16"/>
  <c r="G181" i="16"/>
  <c r="G179" i="16"/>
  <c r="G178" i="16" s="1"/>
  <c r="G177" i="16"/>
  <c r="G175" i="16"/>
  <c r="G174" i="16" s="1"/>
  <c r="G166" i="16"/>
  <c r="G165" i="16" s="1"/>
  <c r="G168" i="16"/>
  <c r="G170" i="16"/>
  <c r="G169" i="16" s="1"/>
  <c r="G172" i="16"/>
  <c r="G469" i="16"/>
  <c r="G468" i="16" s="1"/>
  <c r="G471" i="16"/>
  <c r="G467" i="16"/>
  <c r="G465" i="16"/>
  <c r="G464" i="16" s="1"/>
  <c r="G461" i="16"/>
  <c r="G460" i="16" s="1"/>
  <c r="G463" i="16"/>
  <c r="G226" i="16"/>
  <c r="G224" i="16"/>
  <c r="G223" i="16" s="1"/>
  <c r="G209" i="16"/>
  <c r="G207" i="16"/>
  <c r="G206" i="16" s="1"/>
  <c r="H21" i="16"/>
  <c r="H23" i="16"/>
  <c r="G540" i="16"/>
  <c r="G538" i="16"/>
  <c r="H537" i="16"/>
  <c r="H535" i="16"/>
  <c r="H534" i="16" s="1"/>
  <c r="G535" i="16"/>
  <c r="G534" i="16" s="1"/>
  <c r="G537" i="16"/>
  <c r="G621" i="16"/>
  <c r="G623" i="16"/>
  <c r="G895" i="5"/>
  <c r="I895" i="5" s="1"/>
  <c r="G763" i="5"/>
  <c r="I763" i="5" s="1"/>
  <c r="G913" i="5"/>
  <c r="I913" i="5" s="1"/>
  <c r="G911" i="5"/>
  <c r="I911" i="5" s="1"/>
  <c r="G897" i="5"/>
  <c r="I897" i="5" s="1"/>
  <c r="G727" i="5"/>
  <c r="I727" i="5" s="1"/>
  <c r="G733" i="5"/>
  <c r="I733" i="5" s="1"/>
  <c r="G689" i="5"/>
  <c r="I689" i="5" s="1"/>
  <c r="G679" i="5"/>
  <c r="I679" i="5" s="1"/>
  <c r="G672" i="5"/>
  <c r="I672" i="5" s="1"/>
  <c r="G665" i="5"/>
  <c r="I665" i="5" s="1"/>
  <c r="G662" i="5"/>
  <c r="I662" i="5" s="1"/>
  <c r="G659" i="5"/>
  <c r="I659" i="5" s="1"/>
  <c r="G618" i="5"/>
  <c r="I618" i="5" s="1"/>
  <c r="G625" i="5"/>
  <c r="I625" i="5" s="1"/>
  <c r="G632" i="5"/>
  <c r="I632" i="5" s="1"/>
  <c r="G636" i="5"/>
  <c r="I636" i="5" s="1"/>
  <c r="G647" i="5"/>
  <c r="I647" i="5" s="1"/>
  <c r="G651" i="5"/>
  <c r="I651" i="5" s="1"/>
  <c r="G254" i="5"/>
  <c r="I254" i="5" s="1"/>
  <c r="G17" i="5"/>
  <c r="F911" i="3"/>
  <c r="H911" i="3" s="1"/>
  <c r="F1041" i="3"/>
  <c r="H1041" i="3" s="1"/>
  <c r="F1029" i="3"/>
  <c r="H1029" i="3" s="1"/>
  <c r="G19" i="6" l="1"/>
  <c r="I19" i="6" s="1"/>
  <c r="I20" i="6"/>
  <c r="G819" i="14"/>
  <c r="G603" i="16"/>
  <c r="H395" i="15"/>
  <c r="H852" i="16"/>
  <c r="H299" i="16"/>
  <c r="H298" i="16" s="1"/>
  <c r="H293" i="16" s="1"/>
  <c r="H292" i="16" s="1"/>
  <c r="H291" i="16" s="1"/>
  <c r="H712" i="16"/>
  <c r="H747" i="16"/>
  <c r="H746" i="16" s="1"/>
  <c r="H734" i="16"/>
  <c r="H624" i="16"/>
  <c r="H848" i="16"/>
  <c r="H185" i="16"/>
  <c r="H419" i="16"/>
  <c r="H471" i="16"/>
  <c r="H726" i="16"/>
  <c r="H450" i="16"/>
  <c r="H170" i="16"/>
  <c r="H169" i="16" s="1"/>
  <c r="H164" i="16" s="1"/>
  <c r="H35" i="16"/>
  <c r="H370" i="16"/>
  <c r="H369" i="16" s="1"/>
  <c r="H366" i="16" s="1"/>
  <c r="H627" i="16"/>
  <c r="H613" i="16"/>
  <c r="H612" i="16" s="1"/>
  <c r="H893" i="16"/>
  <c r="H273" i="16"/>
  <c r="H272" i="16" s="1"/>
  <c r="H486" i="16"/>
  <c r="H528" i="16"/>
  <c r="H903" i="16"/>
  <c r="H587" i="16"/>
  <c r="H586" i="16" s="1"/>
  <c r="H585" i="16" s="1"/>
  <c r="H584" i="16" s="1"/>
  <c r="H525" i="16"/>
  <c r="H596" i="16"/>
  <c r="H31" i="16"/>
  <c r="H30" i="16" s="1"/>
  <c r="H29" i="16" s="1"/>
  <c r="H209" i="16"/>
  <c r="H228" i="16"/>
  <c r="H227" i="16" s="1"/>
  <c r="H236" i="16"/>
  <c r="H235" i="16" s="1"/>
  <c r="H538" i="16"/>
  <c r="H531" i="16" s="1"/>
  <c r="H438" i="16"/>
  <c r="H123" i="16"/>
  <c r="H122" i="16" s="1"/>
  <c r="H119" i="16" s="1"/>
  <c r="H758" i="16"/>
  <c r="H757" i="16" s="1"/>
  <c r="H752" i="16" s="1"/>
  <c r="H751" i="16" s="1"/>
  <c r="H750" i="16" s="1"/>
  <c r="H428" i="16"/>
  <c r="H465" i="16"/>
  <c r="H464" i="16" s="1"/>
  <c r="H459" i="16" s="1"/>
  <c r="H458" i="16" s="1"/>
  <c r="H457" i="16" s="1"/>
  <c r="H888" i="16"/>
  <c r="H643" i="16"/>
  <c r="H85" i="16"/>
  <c r="H84" i="16" s="1"/>
  <c r="H83" i="16" s="1"/>
  <c r="H82" i="16" s="1"/>
  <c r="H881" i="16"/>
  <c r="H880" i="16" s="1"/>
  <c r="H879" i="16" s="1"/>
  <c r="H878" i="16" s="1"/>
  <c r="H920" i="16"/>
  <c r="H919" i="16" s="1"/>
  <c r="H918" i="16" s="1"/>
  <c r="H917" i="16" s="1"/>
  <c r="H916" i="16" s="1"/>
  <c r="H651" i="16"/>
  <c r="H650" i="16" s="1"/>
  <c r="H647" i="16" s="1"/>
  <c r="H463" i="16"/>
  <c r="H168" i="16"/>
  <c r="G434" i="16"/>
  <c r="G433" i="16" s="1"/>
  <c r="G432" i="16" s="1"/>
  <c r="H249" i="16"/>
  <c r="H248" i="16" s="1"/>
  <c r="H297" i="16"/>
  <c r="H552" i="16"/>
  <c r="H551" i="16" s="1"/>
  <c r="H548" i="16" s="1"/>
  <c r="H543" i="16" s="1"/>
  <c r="H542" i="16" s="1"/>
  <c r="H570" i="16"/>
  <c r="H547" i="16"/>
  <c r="H634" i="16"/>
  <c r="H633" i="16" s="1"/>
  <c r="H632" i="16" s="1"/>
  <c r="H631" i="16" s="1"/>
  <c r="H201" i="16"/>
  <c r="H428" i="15"/>
  <c r="H575" i="16"/>
  <c r="G667" i="14"/>
  <c r="H177" i="16"/>
  <c r="H130" i="16"/>
  <c r="H621" i="16"/>
  <c r="H179" i="16"/>
  <c r="H178" i="16" s="1"/>
  <c r="H173" i="16" s="1"/>
  <c r="H856" i="16"/>
  <c r="H766" i="16"/>
  <c r="H765" i="16" s="1"/>
  <c r="H779" i="16"/>
  <c r="H609" i="16"/>
  <c r="H608" i="16" s="1"/>
  <c r="H835" i="16"/>
  <c r="H834" i="16" s="1"/>
  <c r="H582" i="16"/>
  <c r="H862" i="16"/>
  <c r="H861" i="16" s="1"/>
  <c r="H49" i="16"/>
  <c r="H282" i="15"/>
  <c r="H739" i="16"/>
  <c r="G852" i="14"/>
  <c r="H434" i="16"/>
  <c r="H433" i="16" s="1"/>
  <c r="H432" i="16" s="1"/>
  <c r="H446" i="16"/>
  <c r="H445" i="16" s="1"/>
  <c r="G446" i="16"/>
  <c r="G445" i="16" s="1"/>
  <c r="H226" i="16"/>
  <c r="G293" i="16"/>
  <c r="G292" i="16" s="1"/>
  <c r="G291" i="16" s="1"/>
  <c r="G602" i="16"/>
  <c r="G601" i="16" s="1"/>
  <c r="H110" i="16"/>
  <c r="H109" i="16" s="1"/>
  <c r="H108" i="16" s="1"/>
  <c r="H396" i="16"/>
  <c r="H395" i="16" s="1"/>
  <c r="H394" i="16" s="1"/>
  <c r="G459" i="16"/>
  <c r="G458" i="16" s="1"/>
  <c r="G457" i="16" s="1"/>
  <c r="H681" i="16"/>
  <c r="H674" i="16" s="1"/>
  <c r="H673" i="16" s="1"/>
  <c r="G81" i="16"/>
  <c r="G83" i="16"/>
  <c r="G82" i="16" s="1"/>
  <c r="G368" i="16"/>
  <c r="G367" i="16" s="1"/>
  <c r="G366" i="16"/>
  <c r="G630" i="16"/>
  <c r="G632" i="16"/>
  <c r="G631" i="16" s="1"/>
  <c r="H874" i="16"/>
  <c r="H873" i="16" s="1"/>
  <c r="H868" i="16" s="1"/>
  <c r="H867" i="16" s="1"/>
  <c r="H866" i="16" s="1"/>
  <c r="H876" i="16"/>
  <c r="G649" i="16"/>
  <c r="G648" i="16" s="1"/>
  <c r="G647" i="16"/>
  <c r="G65" i="16"/>
  <c r="G66" i="16"/>
  <c r="G91" i="16"/>
  <c r="G92" i="16"/>
  <c r="G590" i="16"/>
  <c r="G592" i="16"/>
  <c r="G591" i="16" s="1"/>
  <c r="G31" i="16"/>
  <c r="G30" i="16" s="1"/>
  <c r="H70" i="16"/>
  <c r="H69" i="16" s="1"/>
  <c r="H68" i="16" s="1"/>
  <c r="H67" i="16" s="1"/>
  <c r="H72" i="16"/>
  <c r="G620" i="16"/>
  <c r="G619" i="16" s="1"/>
  <c r="G618" i="16" s="1"/>
  <c r="G617" i="16" s="1"/>
  <c r="G164" i="16"/>
  <c r="G173" i="16"/>
  <c r="G878" i="16"/>
  <c r="G752" i="16"/>
  <c r="G751" i="16" s="1"/>
  <c r="G750" i="16" s="1"/>
  <c r="G52" i="16"/>
  <c r="G51" i="16" s="1"/>
  <c r="G50" i="16"/>
  <c r="H98" i="16"/>
  <c r="H96" i="16"/>
  <c r="H95" i="16" s="1"/>
  <c r="H94" i="16" s="1"/>
  <c r="H93" i="16" s="1"/>
  <c r="G585" i="16"/>
  <c r="G584" i="16" s="1"/>
  <c r="G583" i="16"/>
  <c r="G833" i="16"/>
  <c r="G832" i="16" s="1"/>
  <c r="G831" i="16" s="1"/>
  <c r="G830" i="16" s="1"/>
  <c r="G396" i="16"/>
  <c r="G395" i="16" s="1"/>
  <c r="G393" i="16" s="1"/>
  <c r="H576" i="16"/>
  <c r="H578" i="16"/>
  <c r="H577" i="16" s="1"/>
  <c r="G576" i="16"/>
  <c r="G578" i="16"/>
  <c r="G577" i="16" s="1"/>
  <c r="H592" i="16"/>
  <c r="H591" i="16" s="1"/>
  <c r="H590" i="16"/>
  <c r="H56" i="16"/>
  <c r="H54" i="16"/>
  <c r="H53" i="16" s="1"/>
  <c r="G110" i="16"/>
  <c r="G109" i="16" s="1"/>
  <c r="G108" i="16" s="1"/>
  <c r="G121" i="16"/>
  <c r="G120" i="16" s="1"/>
  <c r="G119" i="16"/>
  <c r="G132" i="16"/>
  <c r="G131" i="16" s="1"/>
  <c r="G130" i="16"/>
  <c r="G474" i="16"/>
  <c r="G473" i="16" s="1"/>
  <c r="G472" i="16" s="1"/>
  <c r="G12" i="16"/>
  <c r="G11" i="16" s="1"/>
  <c r="G10" i="16"/>
  <c r="G548" i="16"/>
  <c r="G543" i="16" s="1"/>
  <c r="G542" i="16" s="1"/>
  <c r="G550" i="16"/>
  <c r="G549" i="16" s="1"/>
  <c r="G533" i="16"/>
  <c r="G532" i="16" s="1"/>
  <c r="G531" i="16"/>
  <c r="G894" i="5"/>
  <c r="I894" i="5" s="1"/>
  <c r="G728" i="5"/>
  <c r="I728" i="5" s="1"/>
  <c r="G910" i="5"/>
  <c r="I910" i="5" s="1"/>
  <c r="G16" i="5"/>
  <c r="F1062" i="3"/>
  <c r="H1062" i="3" s="1"/>
  <c r="G732" i="5"/>
  <c r="I732" i="5" s="1"/>
  <c r="G734" i="5"/>
  <c r="I734" i="5" s="1"/>
  <c r="G688" i="5"/>
  <c r="I688" i="5" s="1"/>
  <c r="G690" i="5"/>
  <c r="I690" i="5" s="1"/>
  <c r="G678" i="5"/>
  <c r="I678" i="5" s="1"/>
  <c r="G680" i="5"/>
  <c r="I680" i="5" s="1"/>
  <c r="G671" i="5"/>
  <c r="I671" i="5" s="1"/>
  <c r="G673" i="5"/>
  <c r="I673" i="5" s="1"/>
  <c r="G661" i="5"/>
  <c r="I661" i="5" s="1"/>
  <c r="G663" i="5"/>
  <c r="I663" i="5" s="1"/>
  <c r="G658" i="5"/>
  <c r="I658" i="5" s="1"/>
  <c r="G660" i="5"/>
  <c r="I660" i="5" s="1"/>
  <c r="G664" i="5"/>
  <c r="I664" i="5" s="1"/>
  <c r="G666" i="5"/>
  <c r="I666" i="5" s="1"/>
  <c r="G650" i="5"/>
  <c r="I650" i="5" s="1"/>
  <c r="G652" i="5"/>
  <c r="I652" i="5" s="1"/>
  <c r="G646" i="5"/>
  <c r="I646" i="5" s="1"/>
  <c r="G648" i="5"/>
  <c r="I648" i="5" s="1"/>
  <c r="G635" i="5"/>
  <c r="I635" i="5" s="1"/>
  <c r="G637" i="5"/>
  <c r="I637" i="5" s="1"/>
  <c r="G631" i="5"/>
  <c r="I631" i="5" s="1"/>
  <c r="G633" i="5"/>
  <c r="I633" i="5" s="1"/>
  <c r="G624" i="5"/>
  <c r="I624" i="5" s="1"/>
  <c r="G626" i="5"/>
  <c r="I626" i="5" s="1"/>
  <c r="G617" i="5"/>
  <c r="I617" i="5" s="1"/>
  <c r="G619" i="5"/>
  <c r="I619" i="5" s="1"/>
  <c r="G253" i="5"/>
  <c r="I253" i="5" s="1"/>
  <c r="G255" i="5"/>
  <c r="I255" i="5" s="1"/>
  <c r="G18" i="5"/>
  <c r="F994" i="3"/>
  <c r="F990" i="3"/>
  <c r="H990" i="3" s="1"/>
  <c r="F987" i="3"/>
  <c r="F984" i="3"/>
  <c r="F974" i="3"/>
  <c r="H974" i="3" s="1"/>
  <c r="F962" i="3"/>
  <c r="H962" i="3" s="1"/>
  <c r="F944" i="3"/>
  <c r="H944" i="3" s="1"/>
  <c r="F939" i="3"/>
  <c r="H939" i="3" s="1"/>
  <c r="F923" i="3"/>
  <c r="H923" i="3" s="1"/>
  <c r="F910" i="3"/>
  <c r="H910" i="3" s="1"/>
  <c r="F898" i="3"/>
  <c r="H898" i="3" s="1"/>
  <c r="F895" i="3"/>
  <c r="H895" i="3" s="1"/>
  <c r="F893" i="3"/>
  <c r="H893" i="3" s="1"/>
  <c r="F891" i="3"/>
  <c r="H891" i="3" s="1"/>
  <c r="F886" i="3"/>
  <c r="H886" i="3" s="1"/>
  <c r="F883" i="3"/>
  <c r="H883" i="3" s="1"/>
  <c r="F881" i="3"/>
  <c r="H881" i="3" s="1"/>
  <c r="F875" i="3"/>
  <c r="H875" i="3" s="1"/>
  <c r="F870" i="3"/>
  <c r="H870" i="3" s="1"/>
  <c r="F865" i="3"/>
  <c r="H865" i="3" s="1"/>
  <c r="F862" i="3"/>
  <c r="H862" i="3" s="1"/>
  <c r="F855" i="3"/>
  <c r="H855" i="3" s="1"/>
  <c r="F852" i="3"/>
  <c r="H852" i="3" s="1"/>
  <c r="F848" i="3"/>
  <c r="H848" i="3" s="1"/>
  <c r="F844" i="3"/>
  <c r="H844" i="3" s="1"/>
  <c r="F840" i="3"/>
  <c r="H840" i="3" s="1"/>
  <c r="F838" i="3"/>
  <c r="H838" i="3" s="1"/>
  <c r="F827" i="3"/>
  <c r="H827" i="3" s="1"/>
  <c r="F820" i="3"/>
  <c r="H820" i="3" s="1"/>
  <c r="F816" i="3"/>
  <c r="H816" i="3" s="1"/>
  <c r="F814" i="3"/>
  <c r="H814" i="3" s="1"/>
  <c r="F810" i="3"/>
  <c r="H810" i="3" s="1"/>
  <c r="F808" i="3"/>
  <c r="H808" i="3" s="1"/>
  <c r="F762" i="3"/>
  <c r="H762" i="3" s="1"/>
  <c r="F758" i="3"/>
  <c r="H758" i="3" s="1"/>
  <c r="F752" i="3"/>
  <c r="F749" i="3"/>
  <c r="H749" i="3" s="1"/>
  <c r="F742" i="3"/>
  <c r="H742" i="3" s="1"/>
  <c r="F739" i="3"/>
  <c r="H739" i="3" s="1"/>
  <c r="F721" i="3"/>
  <c r="H721" i="3" s="1"/>
  <c r="F715" i="3"/>
  <c r="H715" i="3" s="1"/>
  <c r="F711" i="3"/>
  <c r="H711" i="3" s="1"/>
  <c r="G298" i="4"/>
  <c r="I298" i="4" s="1"/>
  <c r="F944" i="14" l="1"/>
  <c r="H987" i="3"/>
  <c r="F718" i="14"/>
  <c r="G718" i="14" s="1"/>
  <c r="H752" i="3"/>
  <c r="F941" i="14"/>
  <c r="H984" i="3"/>
  <c r="F951" i="14"/>
  <c r="H994" i="3"/>
  <c r="H603" i="16"/>
  <c r="H602" i="16" s="1"/>
  <c r="H601" i="16" s="1"/>
  <c r="H368" i="16"/>
  <c r="H367" i="16" s="1"/>
  <c r="H121" i="16"/>
  <c r="H120" i="16" s="1"/>
  <c r="H550" i="16"/>
  <c r="H549" i="16" s="1"/>
  <c r="H620" i="16"/>
  <c r="H619" i="16" s="1"/>
  <c r="H618" i="16" s="1"/>
  <c r="H617" i="16" s="1"/>
  <c r="H630" i="16"/>
  <c r="H649" i="16"/>
  <c r="H648" i="16" s="1"/>
  <c r="H583" i="16"/>
  <c r="H81" i="16"/>
  <c r="H533" i="16"/>
  <c r="H532" i="16" s="1"/>
  <c r="H833" i="16"/>
  <c r="H832" i="16" s="1"/>
  <c r="H831" i="16" s="1"/>
  <c r="H830" i="16" s="1"/>
  <c r="H107" i="16"/>
  <c r="G444" i="16"/>
  <c r="G443" i="16"/>
  <c r="H444" i="16"/>
  <c r="H443" i="16"/>
  <c r="H393" i="16"/>
  <c r="G394" i="16"/>
  <c r="H52" i="16"/>
  <c r="H51" i="16" s="1"/>
  <c r="H50" i="16"/>
  <c r="H65" i="16"/>
  <c r="H66" i="16"/>
  <c r="G29" i="16"/>
  <c r="H91" i="16"/>
  <c r="H92" i="16"/>
  <c r="G107" i="16"/>
  <c r="G297" i="4"/>
  <c r="I297" i="4" s="1"/>
  <c r="G645" i="5"/>
  <c r="I645" i="5" s="1"/>
  <c r="G616" i="5"/>
  <c r="I616" i="5" s="1"/>
  <c r="G630" i="5"/>
  <c r="I630" i="5" s="1"/>
  <c r="G670" i="5"/>
  <c r="I670" i="5" s="1"/>
  <c r="G687" i="5"/>
  <c r="I687" i="5" s="1"/>
  <c r="G252" i="5"/>
  <c r="I252" i="5" s="1"/>
  <c r="G623" i="5"/>
  <c r="I623" i="5" s="1"/>
  <c r="G634" i="5"/>
  <c r="I634" i="5" s="1"/>
  <c r="G649" i="5"/>
  <c r="I649" i="5" s="1"/>
  <c r="G15" i="5"/>
  <c r="F720" i="3"/>
  <c r="H720" i="3" s="1"/>
  <c r="G590" i="5"/>
  <c r="F880" i="3"/>
  <c r="H880" i="3" s="1"/>
  <c r="F922" i="3"/>
  <c r="H922" i="3" s="1"/>
  <c r="G569" i="5"/>
  <c r="I569" i="5" s="1"/>
  <c r="F780" i="14"/>
  <c r="F851" i="3"/>
  <c r="H851" i="3" s="1"/>
  <c r="F882" i="3"/>
  <c r="F846" i="14"/>
  <c r="F710" i="3"/>
  <c r="H710" i="3" s="1"/>
  <c r="F741" i="3"/>
  <c r="H741" i="3" s="1"/>
  <c r="G572" i="5"/>
  <c r="I572" i="5" s="1"/>
  <c r="F869" i="3"/>
  <c r="H869" i="3" s="1"/>
  <c r="F1061" i="3"/>
  <c r="H1061" i="3" s="1"/>
  <c r="F714" i="3"/>
  <c r="H714" i="3" s="1"/>
  <c r="F807" i="3"/>
  <c r="H807" i="3" s="1"/>
  <c r="F843" i="3"/>
  <c r="H843" i="3" s="1"/>
  <c r="F861" i="3"/>
  <c r="H861" i="3" s="1"/>
  <c r="F874" i="3"/>
  <c r="H874" i="3" s="1"/>
  <c r="F909" i="3"/>
  <c r="H909" i="3" s="1"/>
  <c r="F961" i="3"/>
  <c r="H961" i="3" s="1"/>
  <c r="G731" i="5"/>
  <c r="I731" i="5" s="1"/>
  <c r="G657" i="5"/>
  <c r="I657" i="5" s="1"/>
  <c r="F819" i="3"/>
  <c r="H819" i="3" s="1"/>
  <c r="G579" i="5"/>
  <c r="I579" i="5" s="1"/>
  <c r="F748" i="3"/>
  <c r="H748" i="3" s="1"/>
  <c r="G38" i="5"/>
  <c r="I38" i="5" s="1"/>
  <c r="F751" i="3"/>
  <c r="H751" i="3" s="1"/>
  <c r="G42" i="5"/>
  <c r="I42" i="5" s="1"/>
  <c r="F757" i="3"/>
  <c r="H757" i="3" s="1"/>
  <c r="G52" i="5"/>
  <c r="I52" i="5" s="1"/>
  <c r="F761" i="3"/>
  <c r="H761" i="3" s="1"/>
  <c r="G59" i="5"/>
  <c r="I59" i="5" s="1"/>
  <c r="G591" i="5" l="1"/>
  <c r="I591" i="5" s="1"/>
  <c r="I590" i="5"/>
  <c r="F845" i="14"/>
  <c r="H882" i="3"/>
  <c r="G640" i="5"/>
  <c r="I640" i="5" s="1"/>
  <c r="G669" i="5"/>
  <c r="I669" i="5" s="1"/>
  <c r="G629" i="5"/>
  <c r="G667" i="5"/>
  <c r="I667" i="5" s="1"/>
  <c r="G627" i="5"/>
  <c r="I627" i="5" s="1"/>
  <c r="G570" i="5"/>
  <c r="I570" i="5" s="1"/>
  <c r="G296" i="4"/>
  <c r="I296" i="4" s="1"/>
  <c r="G53" i="5"/>
  <c r="I53" i="5" s="1"/>
  <c r="G656" i="5"/>
  <c r="I656" i="5" s="1"/>
  <c r="G730" i="5"/>
  <c r="I730" i="5" s="1"/>
  <c r="G622" i="5"/>
  <c r="I622" i="5" s="1"/>
  <c r="G686" i="5"/>
  <c r="I686" i="5" s="1"/>
  <c r="G568" i="5"/>
  <c r="I568" i="5" s="1"/>
  <c r="G615" i="5"/>
  <c r="I615" i="5" s="1"/>
  <c r="G573" i="5"/>
  <c r="I573" i="5" s="1"/>
  <c r="G613" i="5"/>
  <c r="I613" i="5" s="1"/>
  <c r="G589" i="5"/>
  <c r="I589" i="5" s="1"/>
  <c r="G12" i="5"/>
  <c r="G14" i="5"/>
  <c r="G571" i="5"/>
  <c r="I571" i="5" s="1"/>
  <c r="G620" i="5"/>
  <c r="I620" i="5" s="1"/>
  <c r="G684" i="5"/>
  <c r="I684" i="5" s="1"/>
  <c r="F760" i="3"/>
  <c r="H760" i="3" s="1"/>
  <c r="F818" i="3"/>
  <c r="H818" i="3" s="1"/>
  <c r="F960" i="3"/>
  <c r="H960" i="3" s="1"/>
  <c r="F868" i="3"/>
  <c r="H868" i="3" s="1"/>
  <c r="F740" i="3"/>
  <c r="H740" i="3" s="1"/>
  <c r="F850" i="3"/>
  <c r="H850" i="3" s="1"/>
  <c r="F921" i="3"/>
  <c r="H921" i="3" s="1"/>
  <c r="F747" i="3"/>
  <c r="H747" i="3" s="1"/>
  <c r="F750" i="3"/>
  <c r="F717" i="14"/>
  <c r="G717" i="14" s="1"/>
  <c r="F873" i="3"/>
  <c r="H873" i="3" s="1"/>
  <c r="F908" i="3"/>
  <c r="H908" i="3" s="1"/>
  <c r="F709" i="3"/>
  <c r="H709" i="3" s="1"/>
  <c r="F719" i="3"/>
  <c r="H719" i="3" s="1"/>
  <c r="G578" i="5"/>
  <c r="I578" i="5" s="1"/>
  <c r="G580" i="5"/>
  <c r="I580" i="5" s="1"/>
  <c r="G58" i="5"/>
  <c r="I58" i="5" s="1"/>
  <c r="G60" i="5"/>
  <c r="I60" i="5" s="1"/>
  <c r="G41" i="5"/>
  <c r="I41" i="5" s="1"/>
  <c r="G43" i="5"/>
  <c r="I43" i="5" s="1"/>
  <c r="G37" i="5"/>
  <c r="I37" i="5" s="1"/>
  <c r="G39" i="5"/>
  <c r="I39" i="5" s="1"/>
  <c r="G628" i="5" l="1"/>
  <c r="I628" i="5" s="1"/>
  <c r="I629" i="5"/>
  <c r="F716" i="14"/>
  <c r="G716" i="14" s="1"/>
  <c r="G712" i="14" s="1"/>
  <c r="H750" i="3"/>
  <c r="H299" i="15"/>
  <c r="G299" i="15"/>
  <c r="G871" i="14"/>
  <c r="G870" i="14" s="1"/>
  <c r="G869" i="14" s="1"/>
  <c r="F871" i="14"/>
  <c r="F870" i="14" s="1"/>
  <c r="F869" i="14" s="1"/>
  <c r="D42" i="13" s="1"/>
  <c r="G883" i="14"/>
  <c r="G882" i="14" s="1"/>
  <c r="F883" i="14"/>
  <c r="F882" i="14" s="1"/>
  <c r="G783" i="14"/>
  <c r="F783" i="14"/>
  <c r="G920" i="14"/>
  <c r="G919" i="14" s="1"/>
  <c r="F920" i="14"/>
  <c r="F919" i="14" s="1"/>
  <c r="G36" i="5"/>
  <c r="I36" i="5" s="1"/>
  <c r="G577" i="5"/>
  <c r="I577" i="5" s="1"/>
  <c r="G685" i="5"/>
  <c r="I685" i="5" s="1"/>
  <c r="G588" i="5"/>
  <c r="I588" i="5" s="1"/>
  <c r="G614" i="5"/>
  <c r="I614" i="5" s="1"/>
  <c r="G40" i="5"/>
  <c r="I40" i="5" s="1"/>
  <c r="G729" i="5"/>
  <c r="I729" i="5" s="1"/>
  <c r="G639" i="5"/>
  <c r="I639" i="5" s="1"/>
  <c r="G567" i="5"/>
  <c r="I567" i="5" s="1"/>
  <c r="G621" i="5"/>
  <c r="I621" i="5" s="1"/>
  <c r="F718" i="3"/>
  <c r="H718" i="3" s="1"/>
  <c r="F907" i="3"/>
  <c r="H907" i="3" s="1"/>
  <c r="F759" i="3"/>
  <c r="H759" i="3" s="1"/>
  <c r="F746" i="3"/>
  <c r="H746" i="3" s="1"/>
  <c r="F708" i="3"/>
  <c r="H708" i="3" s="1"/>
  <c r="F872" i="3"/>
  <c r="H872" i="3" s="1"/>
  <c r="F867" i="3"/>
  <c r="H867" i="3" s="1"/>
  <c r="F707" i="3"/>
  <c r="H707" i="3" s="1"/>
  <c r="F705" i="3"/>
  <c r="H705" i="3" s="1"/>
  <c r="F703" i="3"/>
  <c r="H703" i="3" s="1"/>
  <c r="F738" i="3"/>
  <c r="H738" i="3" s="1"/>
  <c r="F782" i="3"/>
  <c r="H782" i="3" s="1"/>
  <c r="F798" i="3"/>
  <c r="H798" i="3" s="1"/>
  <c r="F693" i="3"/>
  <c r="H693" i="3" s="1"/>
  <c r="F682" i="3"/>
  <c r="H682" i="3" s="1"/>
  <c r="F648" i="3"/>
  <c r="H648" i="3" s="1"/>
  <c r="F668" i="3"/>
  <c r="H668" i="3" s="1"/>
  <c r="F641" i="3"/>
  <c r="F663" i="3"/>
  <c r="H663" i="3" s="1"/>
  <c r="F620" i="3"/>
  <c r="H620" i="3" s="1"/>
  <c r="F606" i="3"/>
  <c r="H606" i="3" s="1"/>
  <c r="F600" i="3"/>
  <c r="H600" i="3" s="1"/>
  <c r="F597" i="3"/>
  <c r="H597" i="3" s="1"/>
  <c r="F581" i="3"/>
  <c r="H581" i="3" s="1"/>
  <c r="F562" i="3"/>
  <c r="F574" i="3"/>
  <c r="H574" i="3" s="1"/>
  <c r="F557" i="3"/>
  <c r="H557" i="3" s="1"/>
  <c r="F554" i="3"/>
  <c r="H554" i="3" s="1"/>
  <c r="F544" i="3"/>
  <c r="F540" i="3"/>
  <c r="H540" i="3" s="1"/>
  <c r="F537" i="3"/>
  <c r="F526" i="3"/>
  <c r="H526" i="3" s="1"/>
  <c r="F520" i="3"/>
  <c r="H520" i="3" s="1"/>
  <c r="F510" i="3"/>
  <c r="H510" i="3" s="1"/>
  <c r="F497" i="3"/>
  <c r="H497" i="3" s="1"/>
  <c r="F492" i="3"/>
  <c r="H492" i="3" s="1"/>
  <c r="F488" i="3"/>
  <c r="H488" i="3" s="1"/>
  <c r="F471" i="3"/>
  <c r="H471" i="3" s="1"/>
  <c r="F473" i="3"/>
  <c r="H473" i="3" s="1"/>
  <c r="F478" i="3"/>
  <c r="H478" i="3" s="1"/>
  <c r="F712" i="14" l="1"/>
  <c r="F513" i="14"/>
  <c r="G513" i="14" s="1"/>
  <c r="H537" i="3"/>
  <c r="F617" i="14"/>
  <c r="H641" i="3"/>
  <c r="F520" i="14"/>
  <c r="G520" i="14" s="1"/>
  <c r="H544" i="3"/>
  <c r="F545" i="14"/>
  <c r="G545" i="14" s="1"/>
  <c r="H562" i="3"/>
  <c r="G583" i="5"/>
  <c r="I583" i="5" s="1"/>
  <c r="G581" i="5"/>
  <c r="I581" i="5" s="1"/>
  <c r="G835" i="14"/>
  <c r="G834" i="14" s="1"/>
  <c r="F835" i="14"/>
  <c r="F834" i="14" s="1"/>
  <c r="G684" i="14"/>
  <c r="F684" i="14"/>
  <c r="G725" i="14"/>
  <c r="F725" i="14"/>
  <c r="G674" i="14"/>
  <c r="F674" i="14"/>
  <c r="E42" i="13"/>
  <c r="G638" i="5"/>
  <c r="I638" i="5" s="1"/>
  <c r="G35" i="5"/>
  <c r="I35" i="5" s="1"/>
  <c r="G574" i="5"/>
  <c r="I574" i="5" s="1"/>
  <c r="G564" i="5"/>
  <c r="I564" i="5" s="1"/>
  <c r="G566" i="5"/>
  <c r="I566" i="5" s="1"/>
  <c r="F681" i="3"/>
  <c r="H681" i="3" s="1"/>
  <c r="F737" i="3"/>
  <c r="H737" i="3" s="1"/>
  <c r="F866" i="3"/>
  <c r="H866" i="3" s="1"/>
  <c r="F496" i="3"/>
  <c r="H496" i="3" s="1"/>
  <c r="G180" i="5"/>
  <c r="I180" i="5" s="1"/>
  <c r="G233" i="5"/>
  <c r="I233" i="5" s="1"/>
  <c r="F692" i="3"/>
  <c r="H692" i="3" s="1"/>
  <c r="F659" i="14"/>
  <c r="G659" i="14" s="1"/>
  <c r="F702" i="3"/>
  <c r="H702" i="3" s="1"/>
  <c r="F906" i="3"/>
  <c r="H906" i="3" s="1"/>
  <c r="G304" i="5"/>
  <c r="I304" i="5" s="1"/>
  <c r="G184" i="5"/>
  <c r="G241" i="5"/>
  <c r="F797" i="3"/>
  <c r="H797" i="3" s="1"/>
  <c r="F704" i="3"/>
  <c r="H704" i="3" s="1"/>
  <c r="F477" i="3"/>
  <c r="H477" i="3" s="1"/>
  <c r="G204" i="5"/>
  <c r="I204" i="5" s="1"/>
  <c r="G229" i="5"/>
  <c r="G212" i="5"/>
  <c r="F487" i="3"/>
  <c r="F464" i="14"/>
  <c r="G464" i="14" s="1"/>
  <c r="G175" i="5"/>
  <c r="I175" i="5" s="1"/>
  <c r="F573" i="3"/>
  <c r="H573" i="3" s="1"/>
  <c r="G188" i="5"/>
  <c r="I188" i="5" s="1"/>
  <c r="F619" i="3"/>
  <c r="H619" i="3" s="1"/>
  <c r="G375" i="5"/>
  <c r="I375" i="5" s="1"/>
  <c r="F781" i="3"/>
  <c r="H781" i="3" s="1"/>
  <c r="F706" i="3"/>
  <c r="H706" i="3" s="1"/>
  <c r="F512" i="3"/>
  <c r="H512" i="3" s="1"/>
  <c r="F509" i="3"/>
  <c r="H509" i="3" s="1"/>
  <c r="G171" i="5"/>
  <c r="I171" i="5" s="1"/>
  <c r="F457" i="3"/>
  <c r="F460" i="3"/>
  <c r="H460" i="3" s="1"/>
  <c r="F420" i="3"/>
  <c r="H420" i="3" s="1"/>
  <c r="G928" i="3"/>
  <c r="H83" i="5" s="1"/>
  <c r="G904" i="3"/>
  <c r="G1027" i="4"/>
  <c r="I1027" i="4" s="1"/>
  <c r="F437" i="3"/>
  <c r="H437" i="3" s="1"/>
  <c r="F433" i="3"/>
  <c r="H433" i="3" s="1"/>
  <c r="G228" i="5" l="1"/>
  <c r="I228" i="5" s="1"/>
  <c r="I229" i="5"/>
  <c r="G240" i="5"/>
  <c r="I240" i="5" s="1"/>
  <c r="I241" i="5"/>
  <c r="H84" i="5"/>
  <c r="H82" i="5"/>
  <c r="G185" i="5"/>
  <c r="I185" i="5" s="1"/>
  <c r="I184" i="5"/>
  <c r="G211" i="5"/>
  <c r="I211" i="5" s="1"/>
  <c r="I212" i="5"/>
  <c r="G70" i="3"/>
  <c r="G75" i="3"/>
  <c r="G90" i="3"/>
  <c r="H430" i="5" s="1"/>
  <c r="G734" i="3"/>
  <c r="G756" i="3"/>
  <c r="H49" i="5" s="1"/>
  <c r="G835" i="3"/>
  <c r="G836" i="3"/>
  <c r="G927" i="3"/>
  <c r="G529" i="3"/>
  <c r="H216" i="5" s="1"/>
  <c r="G609" i="3"/>
  <c r="H245" i="5" s="1"/>
  <c r="G623" i="3"/>
  <c r="G637" i="3"/>
  <c r="H357" i="5" s="1"/>
  <c r="G644" i="3"/>
  <c r="G675" i="3"/>
  <c r="H193" i="5" s="1"/>
  <c r="G674" i="3"/>
  <c r="G771" i="3"/>
  <c r="H410" i="5" s="1"/>
  <c r="G779" i="3"/>
  <c r="G997" i="3"/>
  <c r="G995" i="3"/>
  <c r="G144" i="3"/>
  <c r="G267" i="3"/>
  <c r="G336" i="3"/>
  <c r="G393" i="3"/>
  <c r="H837" i="5" s="1"/>
  <c r="G434" i="3"/>
  <c r="H758" i="5" s="1"/>
  <c r="G485" i="3"/>
  <c r="G16" i="3"/>
  <c r="G29" i="3"/>
  <c r="H441" i="5" s="1"/>
  <c r="G109" i="3"/>
  <c r="F435" i="14"/>
  <c r="F434" i="14" s="1"/>
  <c r="F433" i="14" s="1"/>
  <c r="H457" i="3"/>
  <c r="G118" i="3"/>
  <c r="G55" i="3"/>
  <c r="G72" i="3"/>
  <c r="G77" i="3"/>
  <c r="G82" i="3"/>
  <c r="G160" i="3"/>
  <c r="G241" i="3"/>
  <c r="G242" i="3"/>
  <c r="G289" i="3"/>
  <c r="G957" i="3"/>
  <c r="G717" i="3"/>
  <c r="G731" i="3"/>
  <c r="G806" i="3"/>
  <c r="G903" i="3"/>
  <c r="G46" i="3"/>
  <c r="G52" i="3"/>
  <c r="G150" i="3"/>
  <c r="G211" i="3"/>
  <c r="G534" i="3"/>
  <c r="G547" i="3"/>
  <c r="G614" i="3"/>
  <c r="G627" i="3"/>
  <c r="G634" i="3"/>
  <c r="H353" i="5" s="1"/>
  <c r="G688" i="3"/>
  <c r="G697" i="3"/>
  <c r="G768" i="3"/>
  <c r="G777" i="3"/>
  <c r="G791" i="3"/>
  <c r="G795" i="3"/>
  <c r="G1004" i="3"/>
  <c r="G1026" i="3"/>
  <c r="G1034" i="3"/>
  <c r="G1038" i="3"/>
  <c r="G1047" i="3"/>
  <c r="G142" i="3"/>
  <c r="G146" i="3"/>
  <c r="G281" i="3"/>
  <c r="G338" i="3"/>
  <c r="G344" i="3"/>
  <c r="G389" i="3"/>
  <c r="H830" i="5" s="1"/>
  <c r="G397" i="3"/>
  <c r="H844" i="5" s="1"/>
  <c r="G431" i="3"/>
  <c r="G465" i="3"/>
  <c r="G494" i="3"/>
  <c r="G35" i="3"/>
  <c r="G48" i="3"/>
  <c r="G80" i="3"/>
  <c r="G96" i="3"/>
  <c r="H449" i="5" s="1"/>
  <c r="G162" i="3"/>
  <c r="G238" i="3"/>
  <c r="G243" i="3"/>
  <c r="G244" i="3"/>
  <c r="G287" i="3"/>
  <c r="G955" i="3"/>
  <c r="G171" i="3"/>
  <c r="H158" i="5" s="1"/>
  <c r="G728" i="3"/>
  <c r="G918" i="3"/>
  <c r="G341" i="3"/>
  <c r="G523" i="3"/>
  <c r="H208" i="5" s="1"/>
  <c r="G550" i="3"/>
  <c r="G603" i="3"/>
  <c r="H237" i="5" s="1"/>
  <c r="G617" i="3"/>
  <c r="G630" i="3"/>
  <c r="G685" i="3"/>
  <c r="G787" i="3"/>
  <c r="G793" i="3"/>
  <c r="G1020" i="3"/>
  <c r="G1036" i="3"/>
  <c r="G1049" i="3"/>
  <c r="G385" i="3"/>
  <c r="H823" i="5" s="1"/>
  <c r="G448" i="3"/>
  <c r="G475" i="3"/>
  <c r="F463" i="14"/>
  <c r="G463" i="14" s="1"/>
  <c r="H487" i="3"/>
  <c r="H913" i="16"/>
  <c r="H912" i="16" s="1"/>
  <c r="H911" i="16" s="1"/>
  <c r="H910" i="16" s="1"/>
  <c r="H915" i="16" s="1"/>
  <c r="H105" i="16"/>
  <c r="G1026" i="4"/>
  <c r="G234" i="5"/>
  <c r="I234" i="5" s="1"/>
  <c r="G303" i="5"/>
  <c r="I303" i="5" s="1"/>
  <c r="G187" i="5"/>
  <c r="I187" i="5" s="1"/>
  <c r="G232" i="5"/>
  <c r="I232" i="5" s="1"/>
  <c r="F701" i="3"/>
  <c r="G305" i="5"/>
  <c r="I305" i="5" s="1"/>
  <c r="G565" i="5"/>
  <c r="I565" i="5" s="1"/>
  <c r="G576" i="5"/>
  <c r="I576" i="5" s="1"/>
  <c r="G172" i="5"/>
  <c r="I172" i="5" s="1"/>
  <c r="G210" i="5"/>
  <c r="I210" i="5" s="1"/>
  <c r="G376" i="5"/>
  <c r="I376" i="5" s="1"/>
  <c r="G176" i="5"/>
  <c r="I176" i="5" s="1"/>
  <c r="G213" i="5"/>
  <c r="I213" i="5" s="1"/>
  <c r="G242" i="5"/>
  <c r="I242" i="5" s="1"/>
  <c r="G205" i="5"/>
  <c r="I205" i="5" s="1"/>
  <c r="G174" i="5"/>
  <c r="I174" i="5" s="1"/>
  <c r="G203" i="5"/>
  <c r="I203" i="5" s="1"/>
  <c r="G227" i="5"/>
  <c r="I227" i="5" s="1"/>
  <c r="G189" i="5"/>
  <c r="I189" i="5" s="1"/>
  <c r="G230" i="5"/>
  <c r="I230" i="5" s="1"/>
  <c r="G183" i="5"/>
  <c r="I183" i="5" s="1"/>
  <c r="G181" i="5"/>
  <c r="I181" i="5" s="1"/>
  <c r="G755" i="5"/>
  <c r="I755" i="5" s="1"/>
  <c r="F411" i="14"/>
  <c r="F508" i="3"/>
  <c r="H508" i="3" s="1"/>
  <c r="F780" i="3"/>
  <c r="H780" i="3" s="1"/>
  <c r="F476" i="3"/>
  <c r="H476" i="3" s="1"/>
  <c r="F796" i="3"/>
  <c r="H796" i="3" s="1"/>
  <c r="D42" i="2"/>
  <c r="F42" i="2" s="1"/>
  <c r="F691" i="3"/>
  <c r="H691" i="3" s="1"/>
  <c r="F658" i="14"/>
  <c r="G658" i="14" s="1"/>
  <c r="G179" i="5"/>
  <c r="I179" i="5" s="1"/>
  <c r="F511" i="3"/>
  <c r="H511" i="3" s="1"/>
  <c r="F495" i="3"/>
  <c r="H495" i="3" s="1"/>
  <c r="F736" i="3"/>
  <c r="H736" i="3" s="1"/>
  <c r="F419" i="3"/>
  <c r="F456" i="3"/>
  <c r="H456" i="3" s="1"/>
  <c r="G792" i="5"/>
  <c r="I792" i="5" s="1"/>
  <c r="F459" i="3"/>
  <c r="H459" i="3" s="1"/>
  <c r="G796" i="5"/>
  <c r="I796" i="5" s="1"/>
  <c r="F409" i="3"/>
  <c r="F405" i="3"/>
  <c r="F401" i="3"/>
  <c r="F380" i="3"/>
  <c r="F375" i="3"/>
  <c r="H375" i="3" s="1"/>
  <c r="F377" i="3"/>
  <c r="H377" i="3" s="1"/>
  <c r="F372" i="3"/>
  <c r="H372" i="3" s="1"/>
  <c r="F367" i="3"/>
  <c r="H367" i="3" s="1"/>
  <c r="F369" i="3"/>
  <c r="H369" i="3" s="1"/>
  <c r="F361" i="3"/>
  <c r="H361" i="3" s="1"/>
  <c r="F363" i="3"/>
  <c r="F357" i="3"/>
  <c r="H357" i="3" s="1"/>
  <c r="F353" i="3"/>
  <c r="H353" i="3" s="1"/>
  <c r="F273" i="3"/>
  <c r="H273" i="3" s="1"/>
  <c r="F279" i="3"/>
  <c r="H279" i="3" s="1"/>
  <c r="F314" i="3"/>
  <c r="F317" i="3"/>
  <c r="F307" i="3"/>
  <c r="H307" i="3" s="1"/>
  <c r="F310" i="3"/>
  <c r="H310" i="3" s="1"/>
  <c r="F303" i="3"/>
  <c r="F300" i="3"/>
  <c r="F326" i="3"/>
  <c r="F329" i="3"/>
  <c r="F254" i="3"/>
  <c r="H254" i="3" s="1"/>
  <c r="F261" i="3"/>
  <c r="H261" i="3" s="1"/>
  <c r="F247" i="3"/>
  <c r="H247" i="3" s="1"/>
  <c r="F235" i="3"/>
  <c r="H235" i="3" s="1"/>
  <c r="F228" i="3"/>
  <c r="H228" i="3" s="1"/>
  <c r="F58" i="3"/>
  <c r="H58" i="3" s="1"/>
  <c r="F197" i="3"/>
  <c r="H197" i="3" s="1"/>
  <c r="F188" i="3"/>
  <c r="H188" i="3" s="1"/>
  <c r="F193" i="3"/>
  <c r="H193" i="3" s="1"/>
  <c r="F175" i="14"/>
  <c r="F153" i="3"/>
  <c r="H153" i="3" s="1"/>
  <c r="F221" i="3"/>
  <c r="H221" i="3" s="1"/>
  <c r="G1025" i="4" l="1"/>
  <c r="I1025" i="4" s="1"/>
  <c r="I1026" i="4"/>
  <c r="H757" i="5"/>
  <c r="H759" i="5"/>
  <c r="H217" i="5"/>
  <c r="H215" i="5"/>
  <c r="H431" i="5"/>
  <c r="H429" i="5"/>
  <c r="H81" i="5"/>
  <c r="G239" i="5"/>
  <c r="I239" i="5" s="1"/>
  <c r="H238" i="5"/>
  <c r="H236" i="5"/>
  <c r="H450" i="5"/>
  <c r="H448" i="5"/>
  <c r="H442" i="5"/>
  <c r="H440" i="5"/>
  <c r="H838" i="5"/>
  <c r="H836" i="5"/>
  <c r="H411" i="5"/>
  <c r="H409" i="5"/>
  <c r="H358" i="5"/>
  <c r="H356" i="5"/>
  <c r="H50" i="5"/>
  <c r="H48" i="5"/>
  <c r="H843" i="5"/>
  <c r="H845" i="5"/>
  <c r="H824" i="5"/>
  <c r="H822" i="5"/>
  <c r="H207" i="5"/>
  <c r="H209" i="5"/>
  <c r="H157" i="5"/>
  <c r="H159" i="5"/>
  <c r="H829" i="5"/>
  <c r="H831" i="5"/>
  <c r="H354" i="5"/>
  <c r="H352" i="5"/>
  <c r="H194" i="5"/>
  <c r="H192" i="5"/>
  <c r="H246" i="5"/>
  <c r="H244" i="5"/>
  <c r="F289" i="14"/>
  <c r="G289" i="14" s="1"/>
  <c r="H303" i="3"/>
  <c r="F360" i="14"/>
  <c r="G360" i="14" s="1"/>
  <c r="H380" i="3"/>
  <c r="G447" i="3"/>
  <c r="G1019" i="3"/>
  <c r="G629" i="3"/>
  <c r="G522" i="3"/>
  <c r="G170" i="3"/>
  <c r="G76" i="3"/>
  <c r="G54" i="3"/>
  <c r="G28" i="3"/>
  <c r="G392" i="3"/>
  <c r="G991" i="3"/>
  <c r="G636" i="3"/>
  <c r="F381" i="14"/>
  <c r="G381" i="14" s="1"/>
  <c r="H401" i="3"/>
  <c r="G237" i="3"/>
  <c r="G95" i="3"/>
  <c r="G430" i="3"/>
  <c r="G337" i="3"/>
  <c r="G1046" i="3"/>
  <c r="G1003" i="3"/>
  <c r="G767" i="3"/>
  <c r="G626" i="3"/>
  <c r="G210" i="3"/>
  <c r="G730" i="3"/>
  <c r="G956" i="3"/>
  <c r="G89" i="3"/>
  <c r="F286" i="14"/>
  <c r="G286" i="14" s="1"/>
  <c r="H300" i="3"/>
  <c r="F303" i="14"/>
  <c r="G303" i="14" s="1"/>
  <c r="H317" i="3"/>
  <c r="F389" i="14"/>
  <c r="G389" i="14" s="1"/>
  <c r="H409" i="3"/>
  <c r="G435" i="14"/>
  <c r="G161" i="3"/>
  <c r="G79" i="3"/>
  <c r="G34" i="3"/>
  <c r="G464" i="3"/>
  <c r="G396" i="3"/>
  <c r="G343" i="3"/>
  <c r="G280" i="3"/>
  <c r="G141" i="3"/>
  <c r="G1037" i="3"/>
  <c r="G1025" i="3"/>
  <c r="G794" i="3"/>
  <c r="G776" i="3"/>
  <c r="G696" i="3"/>
  <c r="G633" i="3"/>
  <c r="G613" i="3"/>
  <c r="G590" i="14"/>
  <c r="G533" i="3"/>
  <c r="G149" i="3"/>
  <c r="G45" i="3"/>
  <c r="G805" i="3"/>
  <c r="G716" i="3"/>
  <c r="G288" i="3"/>
  <c r="G778" i="3"/>
  <c r="G673" i="3"/>
  <c r="G834" i="3"/>
  <c r="G733" i="3"/>
  <c r="G74" i="3"/>
  <c r="F300" i="14"/>
  <c r="G300" i="14" s="1"/>
  <c r="H314" i="3"/>
  <c r="F700" i="3"/>
  <c r="H700" i="3" s="1"/>
  <c r="H701" i="3"/>
  <c r="G1048" i="3"/>
  <c r="G786" i="3"/>
  <c r="G602" i="3"/>
  <c r="G917" i="3"/>
  <c r="G286" i="3"/>
  <c r="G159" i="3"/>
  <c r="G484" i="3"/>
  <c r="G266" i="3"/>
  <c r="G608" i="3"/>
  <c r="F315" i="14"/>
  <c r="G315" i="14" s="1"/>
  <c r="H329" i="3"/>
  <c r="F343" i="14"/>
  <c r="G343" i="14" s="1"/>
  <c r="H363" i="3"/>
  <c r="H419" i="3"/>
  <c r="F418" i="3"/>
  <c r="H418" i="3" s="1"/>
  <c r="G47" i="3"/>
  <c r="G493" i="3"/>
  <c r="G388" i="3"/>
  <c r="G145" i="3"/>
  <c r="G1033" i="3"/>
  <c r="G790" i="3"/>
  <c r="G687" i="3"/>
  <c r="G546" i="3"/>
  <c r="G51" i="3"/>
  <c r="G996" i="3"/>
  <c r="G770" i="3"/>
  <c r="G926" i="3"/>
  <c r="G755" i="3"/>
  <c r="G69" i="3"/>
  <c r="G312" i="14"/>
  <c r="H326" i="3"/>
  <c r="F385" i="14"/>
  <c r="G385" i="14" s="1"/>
  <c r="H405" i="3"/>
  <c r="G474" i="3"/>
  <c r="G384" i="3"/>
  <c r="G1035" i="3"/>
  <c r="G792" i="3"/>
  <c r="G684" i="3"/>
  <c r="G616" i="3"/>
  <c r="G593" i="14"/>
  <c r="G549" i="3"/>
  <c r="G340" i="3"/>
  <c r="G727" i="3"/>
  <c r="G954" i="3"/>
  <c r="G902" i="3"/>
  <c r="G240" i="3"/>
  <c r="G81" i="3"/>
  <c r="G71" i="3"/>
  <c r="G117" i="3"/>
  <c r="G108" i="3"/>
  <c r="G15" i="3"/>
  <c r="G432" i="3"/>
  <c r="G412" i="14"/>
  <c r="G335" i="3"/>
  <c r="G143" i="3"/>
  <c r="G643" i="3"/>
  <c r="G622" i="3"/>
  <c r="G528" i="3"/>
  <c r="G338" i="14"/>
  <c r="F356" i="3"/>
  <c r="H356" i="3" s="1"/>
  <c r="H106" i="16"/>
  <c r="H104" i="16"/>
  <c r="H103" i="16" s="1"/>
  <c r="H102" i="16" s="1"/>
  <c r="H101" i="16" s="1"/>
  <c r="G702" i="14"/>
  <c r="G701" i="14" s="1"/>
  <c r="F702" i="14"/>
  <c r="F701" i="14" s="1"/>
  <c r="G483" i="14"/>
  <c r="F483" i="14"/>
  <c r="F196" i="3"/>
  <c r="H196" i="3" s="1"/>
  <c r="G754" i="5"/>
  <c r="I754" i="5" s="1"/>
  <c r="G302" i="5"/>
  <c r="I302" i="5" s="1"/>
  <c r="G756" i="5"/>
  <c r="I756" i="5" s="1"/>
  <c r="G173" i="5"/>
  <c r="I173" i="5" s="1"/>
  <c r="G182" i="5"/>
  <c r="I182" i="5" s="1"/>
  <c r="G575" i="5"/>
  <c r="I575" i="5" s="1"/>
  <c r="G186" i="5"/>
  <c r="I186" i="5" s="1"/>
  <c r="G231" i="5"/>
  <c r="I231" i="5" s="1"/>
  <c r="G178" i="5"/>
  <c r="I178" i="5" s="1"/>
  <c r="G202" i="5"/>
  <c r="I202" i="5" s="1"/>
  <c r="F227" i="3"/>
  <c r="H227" i="3" s="1"/>
  <c r="F221" i="14"/>
  <c r="G221" i="14" s="1"/>
  <c r="F152" i="3"/>
  <c r="H152" i="3" s="1"/>
  <c r="F146" i="14"/>
  <c r="G146" i="14" s="1"/>
  <c r="F458" i="3"/>
  <c r="H458" i="3" s="1"/>
  <c r="F246" i="3"/>
  <c r="H246" i="3" s="1"/>
  <c r="F272" i="3"/>
  <c r="H272" i="3" s="1"/>
  <c r="F266" i="14"/>
  <c r="G266" i="14" s="1"/>
  <c r="F376" i="3"/>
  <c r="F357" i="14"/>
  <c r="G357" i="14" s="1"/>
  <c r="F735" i="3"/>
  <c r="H735" i="3" s="1"/>
  <c r="F187" i="3"/>
  <c r="H187" i="3" s="1"/>
  <c r="F253" i="3"/>
  <c r="H253" i="3" s="1"/>
  <c r="F366" i="3"/>
  <c r="G347" i="14"/>
  <c r="F455" i="3"/>
  <c r="H455" i="3" s="1"/>
  <c r="G434" i="14"/>
  <c r="F278" i="3"/>
  <c r="H278" i="3" s="1"/>
  <c r="F371" i="3"/>
  <c r="H371" i="3" s="1"/>
  <c r="F352" i="14"/>
  <c r="G352" i="14" s="1"/>
  <c r="F192" i="3"/>
  <c r="F186" i="14"/>
  <c r="F352" i="3"/>
  <c r="H352" i="3" s="1"/>
  <c r="G336" i="14"/>
  <c r="F368" i="3"/>
  <c r="G349" i="14"/>
  <c r="F374" i="3"/>
  <c r="F355" i="14"/>
  <c r="G355" i="14" s="1"/>
  <c r="F507" i="3"/>
  <c r="H507" i="3" s="1"/>
  <c r="F690" i="3"/>
  <c r="H690" i="3" s="1"/>
  <c r="F657" i="14"/>
  <c r="F400" i="3"/>
  <c r="H400" i="3" s="1"/>
  <c r="G851" i="5"/>
  <c r="I851" i="5" s="1"/>
  <c r="F404" i="3"/>
  <c r="H404" i="3" s="1"/>
  <c r="G858" i="5"/>
  <c r="I858" i="5" s="1"/>
  <c r="G795" i="5"/>
  <c r="I795" i="5" s="1"/>
  <c r="G797" i="5"/>
  <c r="I797" i="5" s="1"/>
  <c r="F260" i="3"/>
  <c r="H260" i="3" s="1"/>
  <c r="G815" i="5"/>
  <c r="I815" i="5" s="1"/>
  <c r="F408" i="3"/>
  <c r="H408" i="3" s="1"/>
  <c r="G865" i="5"/>
  <c r="I865" i="5" s="1"/>
  <c r="G793" i="5"/>
  <c r="I793" i="5" s="1"/>
  <c r="G791" i="5"/>
  <c r="I791" i="5" s="1"/>
  <c r="F181" i="3"/>
  <c r="H181" i="3" s="1"/>
  <c r="G880" i="5"/>
  <c r="I880" i="5" s="1"/>
  <c r="F220" i="3"/>
  <c r="F328" i="3"/>
  <c r="H328" i="3" s="1"/>
  <c r="G422" i="5"/>
  <c r="I422" i="5" s="1"/>
  <c r="F325" i="3"/>
  <c r="H325" i="3" s="1"/>
  <c r="G418" i="5"/>
  <c r="I418" i="5" s="1"/>
  <c r="F299" i="3"/>
  <c r="H299" i="3" s="1"/>
  <c r="G117" i="5"/>
  <c r="F316" i="3"/>
  <c r="H316" i="3" s="1"/>
  <c r="G143" i="5"/>
  <c r="I143" i="5" s="1"/>
  <c r="F302" i="3"/>
  <c r="H302" i="3" s="1"/>
  <c r="G121" i="5"/>
  <c r="I121" i="5" s="1"/>
  <c r="F313" i="3"/>
  <c r="H313" i="3" s="1"/>
  <c r="G139" i="5"/>
  <c r="I139" i="5" s="1"/>
  <c r="F309" i="3"/>
  <c r="H309" i="3" s="1"/>
  <c r="G132" i="5"/>
  <c r="I132" i="5" s="1"/>
  <c r="F306" i="3"/>
  <c r="H306" i="3" s="1"/>
  <c r="G128" i="5"/>
  <c r="I128" i="5" s="1"/>
  <c r="F216" i="3"/>
  <c r="H216" i="3" s="1"/>
  <c r="F202" i="3"/>
  <c r="H202" i="3" s="1"/>
  <c r="F206" i="3"/>
  <c r="H206" i="3" s="1"/>
  <c r="F185" i="3"/>
  <c r="H185" i="3" s="1"/>
  <c r="F174" i="3"/>
  <c r="F165" i="3"/>
  <c r="H165" i="3" s="1"/>
  <c r="F139" i="3"/>
  <c r="H139" i="3" s="1"/>
  <c r="F94" i="3"/>
  <c r="H94" i="3" s="1"/>
  <c r="F100" i="3"/>
  <c r="H100" i="3" s="1"/>
  <c r="F103" i="3"/>
  <c r="F26" i="3"/>
  <c r="H26" i="3" s="1"/>
  <c r="H439" i="5" l="1"/>
  <c r="G118" i="5"/>
  <c r="I118" i="5" s="1"/>
  <c r="I117" i="5"/>
  <c r="H351" i="5"/>
  <c r="H243" i="5"/>
  <c r="H206" i="5"/>
  <c r="H355" i="5"/>
  <c r="H444" i="5"/>
  <c r="H80" i="5"/>
  <c r="H214" i="5"/>
  <c r="H750" i="5"/>
  <c r="F185" i="14"/>
  <c r="H192" i="3"/>
  <c r="H156" i="5"/>
  <c r="H47" i="5"/>
  <c r="H428" i="5"/>
  <c r="H828" i="5"/>
  <c r="H821" i="5"/>
  <c r="H835" i="5"/>
  <c r="H191" i="5"/>
  <c r="H842" i="5"/>
  <c r="H408" i="5"/>
  <c r="H235" i="5"/>
  <c r="F354" i="14"/>
  <c r="G354" i="14" s="1"/>
  <c r="H374" i="3"/>
  <c r="G116" i="3"/>
  <c r="G901" i="3"/>
  <c r="G548" i="3"/>
  <c r="G383" i="3"/>
  <c r="G754" i="3"/>
  <c r="G265" i="3"/>
  <c r="G916" i="3"/>
  <c r="G1024" i="3"/>
  <c r="G342" i="3"/>
  <c r="G78" i="3"/>
  <c r="G88" i="3"/>
  <c r="G1002" i="3"/>
  <c r="G92" i="3"/>
  <c r="G726" i="3"/>
  <c r="G925" i="3"/>
  <c r="G148" i="3"/>
  <c r="G632" i="3"/>
  <c r="G27" i="3"/>
  <c r="G521" i="3"/>
  <c r="F96" i="14"/>
  <c r="G96" i="14" s="1"/>
  <c r="H103" i="3"/>
  <c r="G348" i="14"/>
  <c r="H368" i="3"/>
  <c r="F356" i="14"/>
  <c r="G356" i="14" s="1"/>
  <c r="H376" i="3"/>
  <c r="G334" i="3"/>
  <c r="G107" i="3"/>
  <c r="G239" i="3"/>
  <c r="G683" i="3"/>
  <c r="G469" i="3"/>
  <c r="G789" i="3"/>
  <c r="G490" i="3"/>
  <c r="G481" i="3"/>
  <c r="G732" i="3"/>
  <c r="G285" i="3"/>
  <c r="G804" i="3"/>
  <c r="G695" i="3"/>
  <c r="G236" i="3"/>
  <c r="G635" i="3"/>
  <c r="G628" i="3"/>
  <c r="G446" i="3"/>
  <c r="G621" i="3"/>
  <c r="G615" i="3"/>
  <c r="G592" i="14"/>
  <c r="G1032" i="3"/>
  <c r="G73" i="3"/>
  <c r="G775" i="3"/>
  <c r="G729" i="3"/>
  <c r="G1018" i="3"/>
  <c r="G213" i="14"/>
  <c r="H220" i="3"/>
  <c r="G346" i="14"/>
  <c r="H366" i="3"/>
  <c r="G410" i="14"/>
  <c r="G68" i="3"/>
  <c r="G686" i="3"/>
  <c r="G387" i="3"/>
  <c r="G607" i="3"/>
  <c r="G601" i="3"/>
  <c r="G672" i="3"/>
  <c r="G140" i="3"/>
  <c r="G463" i="3"/>
  <c r="G625" i="3"/>
  <c r="F167" i="14"/>
  <c r="G167" i="14" s="1"/>
  <c r="H174" i="3"/>
  <c r="G527" i="3"/>
  <c r="G642" i="3"/>
  <c r="G14" i="3"/>
  <c r="G953" i="3"/>
  <c r="G339" i="3"/>
  <c r="G769" i="3"/>
  <c r="G545" i="3"/>
  <c r="G158" i="3"/>
  <c r="G785" i="3"/>
  <c r="G833" i="3"/>
  <c r="G713" i="3"/>
  <c r="G44" i="3"/>
  <c r="G532" i="3"/>
  <c r="G612" i="3"/>
  <c r="G589" i="14"/>
  <c r="G275" i="3"/>
  <c r="G395" i="3"/>
  <c r="G33" i="3"/>
  <c r="G209" i="3"/>
  <c r="G766" i="3"/>
  <c r="G1045" i="3"/>
  <c r="G429" i="3"/>
  <c r="G391" i="3"/>
  <c r="G53" i="3"/>
  <c r="G169" i="3"/>
  <c r="G335" i="14"/>
  <c r="F351" i="3"/>
  <c r="H351" i="3" s="1"/>
  <c r="H100" i="16"/>
  <c r="H99" i="16"/>
  <c r="H972" i="15"/>
  <c r="H971" i="15" s="1"/>
  <c r="G972" i="15"/>
  <c r="G971" i="15" s="1"/>
  <c r="G657" i="14"/>
  <c r="G656" i="14" s="1"/>
  <c r="F656" i="14"/>
  <c r="G433" i="14"/>
  <c r="G432" i="14" s="1"/>
  <c r="F432" i="14"/>
  <c r="G666" i="14"/>
  <c r="F666" i="14"/>
  <c r="G1024" i="4"/>
  <c r="I1024" i="4" s="1"/>
  <c r="G116" i="5"/>
  <c r="I116" i="5" s="1"/>
  <c r="G866" i="5"/>
  <c r="I866" i="5" s="1"/>
  <c r="G852" i="5"/>
  <c r="I852" i="5" s="1"/>
  <c r="G177" i="5"/>
  <c r="I177" i="5" s="1"/>
  <c r="G794" i="5"/>
  <c r="I794" i="5" s="1"/>
  <c r="G790" i="5"/>
  <c r="I790" i="5" s="1"/>
  <c r="G859" i="5"/>
  <c r="I859" i="5" s="1"/>
  <c r="F178" i="3"/>
  <c r="H178" i="3" s="1"/>
  <c r="F259" i="3"/>
  <c r="H259" i="3" s="1"/>
  <c r="F403" i="3"/>
  <c r="H403" i="3" s="1"/>
  <c r="F384" i="14"/>
  <c r="G384" i="14" s="1"/>
  <c r="F370" i="3"/>
  <c r="F351" i="14"/>
  <c r="G351" i="14" s="1"/>
  <c r="F417" i="3"/>
  <c r="H417" i="3" s="1"/>
  <c r="F151" i="3"/>
  <c r="F145" i="14"/>
  <c r="G145" i="14" s="1"/>
  <c r="F308" i="3"/>
  <c r="H308" i="3" s="1"/>
  <c r="F327" i="3"/>
  <c r="F314" i="14"/>
  <c r="G314" i="14" s="1"/>
  <c r="F138" i="3"/>
  <c r="H138" i="3" s="1"/>
  <c r="F180" i="3"/>
  <c r="F174" i="14"/>
  <c r="F407" i="3"/>
  <c r="H407" i="3" s="1"/>
  <c r="F388" i="14"/>
  <c r="G388" i="14" s="1"/>
  <c r="F399" i="3"/>
  <c r="H399" i="3" s="1"/>
  <c r="F380" i="14"/>
  <c r="G380" i="14" s="1"/>
  <c r="F164" i="3"/>
  <c r="H164" i="3" s="1"/>
  <c r="F365" i="3"/>
  <c r="H365" i="3" s="1"/>
  <c r="F305" i="3"/>
  <c r="H305" i="3" s="1"/>
  <c r="F312" i="3"/>
  <c r="F299" i="14"/>
  <c r="G299" i="14" s="1"/>
  <c r="F315" i="3"/>
  <c r="F302" i="14"/>
  <c r="G302" i="14" s="1"/>
  <c r="F324" i="3"/>
  <c r="H324" i="3" s="1"/>
  <c r="G311" i="14"/>
  <c r="F454" i="3"/>
  <c r="H454" i="3" s="1"/>
  <c r="F184" i="3"/>
  <c r="H184" i="3" s="1"/>
  <c r="F301" i="3"/>
  <c r="F288" i="14"/>
  <c r="G288" i="14" s="1"/>
  <c r="F298" i="3"/>
  <c r="F285" i="14"/>
  <c r="G285" i="14" s="1"/>
  <c r="F373" i="3"/>
  <c r="F252" i="3"/>
  <c r="H252" i="3" s="1"/>
  <c r="F271" i="3"/>
  <c r="H271" i="3" s="1"/>
  <c r="F265" i="14"/>
  <c r="G265" i="14" s="1"/>
  <c r="F226" i="3"/>
  <c r="H226" i="3" s="1"/>
  <c r="F220" i="14"/>
  <c r="G220" i="14" s="1"/>
  <c r="G881" i="5"/>
  <c r="I881" i="5" s="1"/>
  <c r="G879" i="5"/>
  <c r="I879" i="5" s="1"/>
  <c r="G814" i="5"/>
  <c r="I814" i="5" s="1"/>
  <c r="G816" i="5"/>
  <c r="I816" i="5" s="1"/>
  <c r="G421" i="5"/>
  <c r="I421" i="5" s="1"/>
  <c r="G423" i="5"/>
  <c r="I423" i="5" s="1"/>
  <c r="G417" i="5"/>
  <c r="I417" i="5" s="1"/>
  <c r="G419" i="5"/>
  <c r="I419" i="5" s="1"/>
  <c r="G138" i="5"/>
  <c r="I138" i="5" s="1"/>
  <c r="G140" i="5"/>
  <c r="I140" i="5" s="1"/>
  <c r="G142" i="5"/>
  <c r="I142" i="5" s="1"/>
  <c r="G144" i="5"/>
  <c r="I144" i="5" s="1"/>
  <c r="G131" i="5"/>
  <c r="I131" i="5" s="1"/>
  <c r="G133" i="5"/>
  <c r="I133" i="5" s="1"/>
  <c r="G120" i="5"/>
  <c r="I120" i="5" s="1"/>
  <c r="G122" i="5"/>
  <c r="I122" i="5" s="1"/>
  <c r="G127" i="5"/>
  <c r="I127" i="5" s="1"/>
  <c r="G129" i="5"/>
  <c r="I129" i="5" s="1"/>
  <c r="F99" i="3"/>
  <c r="H99" i="3" s="1"/>
  <c r="G456" i="5"/>
  <c r="I456" i="5" s="1"/>
  <c r="F93" i="3"/>
  <c r="H93" i="3" s="1"/>
  <c r="G446" i="5"/>
  <c r="I446" i="5" s="1"/>
  <c r="F25" i="3"/>
  <c r="H25" i="3" s="1"/>
  <c r="G437" i="5"/>
  <c r="I437" i="5" s="1"/>
  <c r="F102" i="3"/>
  <c r="H102" i="3" s="1"/>
  <c r="G460" i="5"/>
  <c r="I460" i="5" s="1"/>
  <c r="F173" i="3"/>
  <c r="H173" i="3" s="1"/>
  <c r="G162" i="5"/>
  <c r="I162" i="5" s="1"/>
  <c r="G1135" i="4"/>
  <c r="I1135" i="4" s="1"/>
  <c r="F120" i="3"/>
  <c r="H120" i="3" s="1"/>
  <c r="F125" i="3"/>
  <c r="H125" i="3" s="1"/>
  <c r="F114" i="3"/>
  <c r="H114" i="3" s="1"/>
  <c r="F111" i="3"/>
  <c r="H111" i="3" s="1"/>
  <c r="F62" i="3"/>
  <c r="H62" i="3" s="1"/>
  <c r="F57" i="3"/>
  <c r="H57" i="3" s="1"/>
  <c r="F39" i="3"/>
  <c r="H39" i="3" s="1"/>
  <c r="F20" i="3"/>
  <c r="H20" i="3" s="1"/>
  <c r="H155" i="5" l="1"/>
  <c r="H820" i="5"/>
  <c r="H841" i="5"/>
  <c r="H190" i="5"/>
  <c r="H427" i="5"/>
  <c r="H46" i="5"/>
  <c r="H443" i="5"/>
  <c r="H434" i="5"/>
  <c r="H745" i="5"/>
  <c r="H834" i="5"/>
  <c r="H79" i="5"/>
  <c r="H350" i="5"/>
  <c r="H348" i="5"/>
  <c r="H218" i="5"/>
  <c r="H403" i="5"/>
  <c r="H827" i="5"/>
  <c r="H197" i="5"/>
  <c r="F284" i="14"/>
  <c r="G284" i="14" s="1"/>
  <c r="H298" i="3"/>
  <c r="G1044" i="3"/>
  <c r="G832" i="3"/>
  <c r="G803" i="3"/>
  <c r="G87" i="3"/>
  <c r="G115" i="3"/>
  <c r="G168" i="3"/>
  <c r="G394" i="3"/>
  <c r="G531" i="3"/>
  <c r="G952" i="3"/>
  <c r="G624" i="3"/>
  <c r="G588" i="3"/>
  <c r="G59" i="3"/>
  <c r="G788" i="3"/>
  <c r="G676" i="3"/>
  <c r="G924" i="3"/>
  <c r="G382" i="3"/>
  <c r="F353" i="14"/>
  <c r="G353" i="14" s="1"/>
  <c r="H373" i="3"/>
  <c r="F287" i="14"/>
  <c r="G287" i="14" s="1"/>
  <c r="H301" i="3"/>
  <c r="F298" i="14"/>
  <c r="G298" i="14" s="1"/>
  <c r="H312" i="3"/>
  <c r="F313" i="14"/>
  <c r="G313" i="14" s="1"/>
  <c r="H327" i="3"/>
  <c r="G765" i="3"/>
  <c r="G784" i="3"/>
  <c r="G541" i="3"/>
  <c r="G232" i="3"/>
  <c r="G489" i="3"/>
  <c r="G998" i="3"/>
  <c r="G1023" i="3"/>
  <c r="G264" i="3"/>
  <c r="G900" i="3"/>
  <c r="F301" i="14"/>
  <c r="G301" i="14" s="1"/>
  <c r="H315" i="3"/>
  <c r="F350" i="14"/>
  <c r="G350" i="14" s="1"/>
  <c r="H370" i="3"/>
  <c r="G712" i="3"/>
  <c r="G157" i="3"/>
  <c r="G591" i="14"/>
  <c r="G333" i="3"/>
  <c r="G514" i="3"/>
  <c r="G506" i="3" s="1"/>
  <c r="G753" i="3"/>
  <c r="F144" i="14"/>
  <c r="G144" i="14" s="1"/>
  <c r="H151" i="3"/>
  <c r="G390" i="3"/>
  <c r="G208" i="3"/>
  <c r="G207" i="3"/>
  <c r="G13" i="3"/>
  <c r="G136" i="3"/>
  <c r="G386" i="3"/>
  <c r="G1017" i="3"/>
  <c r="G480" i="3"/>
  <c r="G106" i="3"/>
  <c r="G631" i="3"/>
  <c r="G43" i="3"/>
  <c r="G425" i="3"/>
  <c r="G32" i="3"/>
  <c r="G274" i="3"/>
  <c r="G611" i="3"/>
  <c r="G588" i="14"/>
  <c r="G638" i="3"/>
  <c r="G462" i="3"/>
  <c r="G461" i="3"/>
  <c r="G774" i="3"/>
  <c r="G1031" i="3"/>
  <c r="G439" i="3"/>
  <c r="G694" i="3"/>
  <c r="G284" i="3"/>
  <c r="G468" i="3"/>
  <c r="G23" i="3"/>
  <c r="G147" i="3"/>
  <c r="G722" i="3"/>
  <c r="G91" i="3"/>
  <c r="G915" i="3"/>
  <c r="F173" i="14"/>
  <c r="H180" i="3"/>
  <c r="G290" i="14"/>
  <c r="F290" i="14"/>
  <c r="G345" i="14"/>
  <c r="G310" i="14"/>
  <c r="G397" i="14"/>
  <c r="G396" i="14" s="1"/>
  <c r="F397" i="14"/>
  <c r="F396" i="14" s="1"/>
  <c r="G1134" i="4"/>
  <c r="I1134" i="4" s="1"/>
  <c r="G119" i="5"/>
  <c r="I119" i="5" s="1"/>
  <c r="G416" i="5"/>
  <c r="I416" i="5" s="1"/>
  <c r="G813" i="5"/>
  <c r="I813" i="5" s="1"/>
  <c r="G878" i="5"/>
  <c r="I878" i="5" s="1"/>
  <c r="G447" i="5"/>
  <c r="I447" i="5" s="1"/>
  <c r="G789" i="5"/>
  <c r="I789" i="5" s="1"/>
  <c r="G126" i="5"/>
  <c r="I126" i="5" s="1"/>
  <c r="G130" i="5"/>
  <c r="I130" i="5" s="1"/>
  <c r="G137" i="5"/>
  <c r="I137" i="5" s="1"/>
  <c r="G420" i="5"/>
  <c r="I420" i="5" s="1"/>
  <c r="F323" i="3"/>
  <c r="G141" i="5"/>
  <c r="I141" i="5" s="1"/>
  <c r="F38" i="3"/>
  <c r="F37" i="14"/>
  <c r="G37" i="14" s="1"/>
  <c r="F56" i="3"/>
  <c r="H56" i="3" s="1"/>
  <c r="F258" i="3"/>
  <c r="H258" i="3" s="1"/>
  <c r="F61" i="3"/>
  <c r="H61" i="3" s="1"/>
  <c r="F124" i="3"/>
  <c r="H124" i="3" s="1"/>
  <c r="F172" i="3"/>
  <c r="F166" i="14"/>
  <c r="G166" i="14" s="1"/>
  <c r="F24" i="3"/>
  <c r="H24" i="3" s="1"/>
  <c r="F98" i="3"/>
  <c r="H98" i="3" s="1"/>
  <c r="F304" i="3"/>
  <c r="H304" i="3" s="1"/>
  <c r="F297" i="3"/>
  <c r="H297" i="3" s="1"/>
  <c r="F270" i="3"/>
  <c r="H270" i="3" s="1"/>
  <c r="F264" i="14"/>
  <c r="F110" i="3"/>
  <c r="H110" i="3" s="1"/>
  <c r="F101" i="3"/>
  <c r="F95" i="14"/>
  <c r="G95" i="14" s="1"/>
  <c r="F225" i="3"/>
  <c r="H225" i="3" s="1"/>
  <c r="F219" i="14"/>
  <c r="F113" i="3"/>
  <c r="H113" i="3" s="1"/>
  <c r="F398" i="3"/>
  <c r="H398" i="3" s="1"/>
  <c r="F379" i="14"/>
  <c r="F19" i="3"/>
  <c r="F311" i="3"/>
  <c r="H311" i="3" s="1"/>
  <c r="F163" i="3"/>
  <c r="H163" i="3" s="1"/>
  <c r="F406" i="3"/>
  <c r="H406" i="3" s="1"/>
  <c r="F387" i="14"/>
  <c r="F137" i="3"/>
  <c r="H137" i="3" s="1"/>
  <c r="F416" i="3"/>
  <c r="H416" i="3" s="1"/>
  <c r="F402" i="3"/>
  <c r="H402" i="3" s="1"/>
  <c r="F383" i="14"/>
  <c r="G459" i="5"/>
  <c r="I459" i="5" s="1"/>
  <c r="G461" i="5"/>
  <c r="I461" i="5" s="1"/>
  <c r="G455" i="5"/>
  <c r="I455" i="5" s="1"/>
  <c r="G457" i="5"/>
  <c r="I457" i="5" s="1"/>
  <c r="G436" i="5"/>
  <c r="I436" i="5" s="1"/>
  <c r="G438" i="5"/>
  <c r="I438" i="5" s="1"/>
  <c r="G161" i="5"/>
  <c r="I161" i="5" s="1"/>
  <c r="G163" i="5"/>
  <c r="I163" i="5" s="1"/>
  <c r="G1138" i="4"/>
  <c r="I1138" i="4" s="1"/>
  <c r="F29" i="3"/>
  <c r="H29" i="3" s="1"/>
  <c r="G297" i="14" l="1"/>
  <c r="G530" i="3"/>
  <c r="G505" i="3" s="1"/>
  <c r="G504" i="3" s="1"/>
  <c r="H826" i="5"/>
  <c r="H833" i="5"/>
  <c r="H45" i="5"/>
  <c r="G283" i="14"/>
  <c r="H840" i="5"/>
  <c r="H819" i="5"/>
  <c r="F283" i="14"/>
  <c r="F309" i="14"/>
  <c r="F308" i="14" s="1"/>
  <c r="H402" i="5"/>
  <c r="H317" i="5"/>
  <c r="H78" i="5"/>
  <c r="H77" i="5"/>
  <c r="H744" i="5"/>
  <c r="H426" i="5"/>
  <c r="H425" i="5"/>
  <c r="H196" i="5"/>
  <c r="H433" i="5"/>
  <c r="H167" i="5"/>
  <c r="G309" i="14"/>
  <c r="G308" i="14" s="1"/>
  <c r="F297" i="14"/>
  <c r="H349" i="5"/>
  <c r="H154" i="5"/>
  <c r="F36" i="14"/>
  <c r="G36" i="14" s="1"/>
  <c r="H38" i="3"/>
  <c r="G610" i="3"/>
  <c r="G745" i="3"/>
  <c r="G263" i="3"/>
  <c r="G231" i="3"/>
  <c r="G764" i="3"/>
  <c r="G914" i="3"/>
  <c r="G22" i="3"/>
  <c r="G283" i="3"/>
  <c r="G773" i="3"/>
  <c r="G42" i="3"/>
  <c r="G332" i="3"/>
  <c r="G1022" i="3"/>
  <c r="G671" i="3"/>
  <c r="G577" i="3"/>
  <c r="G1043" i="3"/>
  <c r="G17" i="14"/>
  <c r="H19" i="3"/>
  <c r="F165" i="14"/>
  <c r="G165" i="14" s="1"/>
  <c r="H172" i="3"/>
  <c r="F322" i="3"/>
  <c r="H322" i="3" s="1"/>
  <c r="H323" i="3"/>
  <c r="G689" i="3"/>
  <c r="G135" i="3"/>
  <c r="G783" i="3"/>
  <c r="G381" i="3"/>
  <c r="G951" i="3"/>
  <c r="G105" i="3"/>
  <c r="G970" i="3"/>
  <c r="G167" i="3"/>
  <c r="F94" i="14"/>
  <c r="G94" i="14" s="1"/>
  <c r="G90" i="14" s="1"/>
  <c r="H101" i="3"/>
  <c r="G438" i="3"/>
  <c r="G31" i="3"/>
  <c r="G12" i="3"/>
  <c r="G899" i="3"/>
  <c r="G467" i="3"/>
  <c r="G1030" i="3"/>
  <c r="G269" i="3"/>
  <c r="G424" i="3"/>
  <c r="G479" i="3"/>
  <c r="G1016" i="3"/>
  <c r="G699" i="3"/>
  <c r="G86" i="3"/>
  <c r="G802" i="3"/>
  <c r="H1082" i="15"/>
  <c r="G1081" i="15"/>
  <c r="G1080" i="15" s="1"/>
  <c r="F27" i="14"/>
  <c r="F26" i="14" s="1"/>
  <c r="F25" i="14" s="1"/>
  <c r="F60" i="3"/>
  <c r="H60" i="3" s="1"/>
  <c r="G422" i="16"/>
  <c r="G421" i="16" s="1"/>
  <c r="G420" i="16" s="1"/>
  <c r="G415" i="16" s="1"/>
  <c r="F296" i="3"/>
  <c r="H296" i="3" s="1"/>
  <c r="G383" i="14"/>
  <c r="G382" i="14" s="1"/>
  <c r="F382" i="14"/>
  <c r="G379" i="14"/>
  <c r="G378" i="14" s="1"/>
  <c r="F378" i="14"/>
  <c r="G219" i="14"/>
  <c r="G218" i="14" s="1"/>
  <c r="G217" i="14" s="1"/>
  <c r="G216" i="14" s="1"/>
  <c r="G215" i="14" s="1"/>
  <c r="F218" i="14"/>
  <c r="F217" i="14" s="1"/>
  <c r="F216" i="14" s="1"/>
  <c r="F215" i="14" s="1"/>
  <c r="G264" i="14"/>
  <c r="G263" i="14" s="1"/>
  <c r="F263" i="14"/>
  <c r="F262" i="14" s="1"/>
  <c r="F261" i="14" s="1"/>
  <c r="D25" i="13" s="1"/>
  <c r="G387" i="14"/>
  <c r="G386" i="14" s="1"/>
  <c r="F386" i="14"/>
  <c r="F251" i="14"/>
  <c r="G1137" i="4"/>
  <c r="I1137" i="4" s="1"/>
  <c r="G125" i="5"/>
  <c r="I125" i="5" s="1"/>
  <c r="G136" i="5"/>
  <c r="G123" i="5"/>
  <c r="I123" i="5" s="1"/>
  <c r="G435" i="5"/>
  <c r="I435" i="5" s="1"/>
  <c r="G458" i="5"/>
  <c r="I458" i="5" s="1"/>
  <c r="G788" i="5"/>
  <c r="I788" i="5" s="1"/>
  <c r="G160" i="5"/>
  <c r="I160" i="5" s="1"/>
  <c r="F97" i="3"/>
  <c r="H97" i="3" s="1"/>
  <c r="G415" i="5"/>
  <c r="I415" i="5" s="1"/>
  <c r="G454" i="5"/>
  <c r="G812" i="5"/>
  <c r="I812" i="5" s="1"/>
  <c r="G134" i="5"/>
  <c r="I134" i="5" s="1"/>
  <c r="F224" i="3"/>
  <c r="H224" i="3" s="1"/>
  <c r="F123" i="3"/>
  <c r="H123" i="3" s="1"/>
  <c r="F112" i="3"/>
  <c r="H112" i="3" s="1"/>
  <c r="F28" i="3"/>
  <c r="H28" i="3" s="1"/>
  <c r="G441" i="5"/>
  <c r="I441" i="5" s="1"/>
  <c r="H499" i="15"/>
  <c r="G386" i="4"/>
  <c r="I386" i="4" s="1"/>
  <c r="F282" i="14" l="1"/>
  <c r="F281" i="14" s="1"/>
  <c r="G282" i="14"/>
  <c r="G281" i="14" s="1"/>
  <c r="H401" i="5"/>
  <c r="H818" i="5"/>
  <c r="G453" i="5"/>
  <c r="I454" i="5"/>
  <c r="G135" i="5"/>
  <c r="I135" i="5" s="1"/>
  <c r="I136" i="5"/>
  <c r="H166" i="5"/>
  <c r="H839" i="5"/>
  <c r="H195" i="5"/>
  <c r="H832" i="5"/>
  <c r="H153" i="5"/>
  <c r="H432" i="5"/>
  <c r="H742" i="5"/>
  <c r="H743" i="5"/>
  <c r="H44" i="5"/>
  <c r="H825" i="5"/>
  <c r="F90" i="14"/>
  <c r="G772" i="3"/>
  <c r="G262" i="3"/>
  <c r="G11" i="3"/>
  <c r="G576" i="3"/>
  <c r="G744" i="3"/>
  <c r="G466" i="3"/>
  <c r="G876" i="3"/>
  <c r="G950" i="3"/>
  <c r="G282" i="3"/>
  <c r="G913" i="3"/>
  <c r="G230" i="3"/>
  <c r="G423" i="3"/>
  <c r="G30" i="3"/>
  <c r="G166" i="3"/>
  <c r="G801" i="3"/>
  <c r="G268" i="3"/>
  <c r="G41" i="3"/>
  <c r="G698" i="3"/>
  <c r="G969" i="3"/>
  <c r="G104" i="3"/>
  <c r="G348" i="3"/>
  <c r="G1042" i="3"/>
  <c r="G670" i="3"/>
  <c r="G331" i="3"/>
  <c r="G763" i="3"/>
  <c r="H498" i="15"/>
  <c r="H860" i="15"/>
  <c r="F135" i="14"/>
  <c r="F134" i="14" s="1"/>
  <c r="G859" i="15"/>
  <c r="H422" i="16"/>
  <c r="H1081" i="15"/>
  <c r="H1080" i="15" s="1"/>
  <c r="G27" i="14"/>
  <c r="G423" i="16"/>
  <c r="G124" i="5"/>
  <c r="I124" i="5" s="1"/>
  <c r="G385" i="4"/>
  <c r="I385" i="4" s="1"/>
  <c r="F836" i="3"/>
  <c r="H836" i="3" s="1"/>
  <c r="G1133" i="4"/>
  <c r="I1133" i="4" s="1"/>
  <c r="G414" i="5"/>
  <c r="G811" i="5"/>
  <c r="I811" i="5" s="1"/>
  <c r="G787" i="5"/>
  <c r="I787" i="5" s="1"/>
  <c r="F295" i="3"/>
  <c r="H295" i="3" s="1"/>
  <c r="F27" i="3"/>
  <c r="H27" i="3" s="1"/>
  <c r="G26" i="14"/>
  <c r="F223" i="3"/>
  <c r="H223" i="3" s="1"/>
  <c r="G440" i="5"/>
  <c r="I440" i="5" s="1"/>
  <c r="G442" i="5"/>
  <c r="I442" i="5" s="1"/>
  <c r="H32" i="5" l="1"/>
  <c r="H152" i="5"/>
  <c r="G452" i="5"/>
  <c r="I453" i="5"/>
  <c r="H400" i="5"/>
  <c r="H165" i="5"/>
  <c r="G413" i="5"/>
  <c r="I413" i="5" s="1"/>
  <c r="I414" i="5"/>
  <c r="H741" i="5"/>
  <c r="H817" i="5"/>
  <c r="H424" i="5"/>
  <c r="G415" i="3"/>
  <c r="E40" i="2"/>
  <c r="E28" i="2"/>
  <c r="E29" i="2"/>
  <c r="E25" i="2"/>
  <c r="G912" i="3"/>
  <c r="G575" i="3"/>
  <c r="E12" i="2"/>
  <c r="E37" i="2"/>
  <c r="E14" i="2"/>
  <c r="G800" i="3"/>
  <c r="G743" i="3"/>
  <c r="G229" i="3"/>
  <c r="E21" i="2"/>
  <c r="E24" i="2"/>
  <c r="G964" i="3"/>
  <c r="G669" i="3"/>
  <c r="G134" i="3"/>
  <c r="E17" i="2" s="1"/>
  <c r="E15" i="2"/>
  <c r="E13" i="2"/>
  <c r="E26" i="2"/>
  <c r="E45" i="2"/>
  <c r="E31" i="2"/>
  <c r="G1021" i="3"/>
  <c r="H37" i="15"/>
  <c r="G36" i="15"/>
  <c r="F44" i="14"/>
  <c r="F43" i="14" s="1"/>
  <c r="H859" i="15"/>
  <c r="G135" i="14"/>
  <c r="G134" i="14" s="1"/>
  <c r="H421" i="16"/>
  <c r="H420" i="16" s="1"/>
  <c r="H415" i="16" s="1"/>
  <c r="H423" i="16"/>
  <c r="F799" i="14"/>
  <c r="F798" i="14" s="1"/>
  <c r="F797" i="14" s="1"/>
  <c r="G374" i="15"/>
  <c r="G373" i="15" s="1"/>
  <c r="G1076" i="15"/>
  <c r="G1075" i="15" s="1"/>
  <c r="F1055" i="3"/>
  <c r="H1055" i="3" s="1"/>
  <c r="H375" i="15"/>
  <c r="G568" i="16"/>
  <c r="G1132" i="4"/>
  <c r="I1132" i="4" s="1"/>
  <c r="F806" i="3"/>
  <c r="F118" i="3"/>
  <c r="H118" i="3" s="1"/>
  <c r="G384" i="4"/>
  <c r="I384" i="4" s="1"/>
  <c r="G810" i="5"/>
  <c r="I810" i="5" s="1"/>
  <c r="G412" i="5"/>
  <c r="I412" i="5" s="1"/>
  <c r="G439" i="5"/>
  <c r="I439" i="5" s="1"/>
  <c r="F222" i="3"/>
  <c r="H222" i="3" s="1"/>
  <c r="F23" i="3"/>
  <c r="H23" i="3" s="1"/>
  <c r="G1067" i="4"/>
  <c r="I1067" i="4" s="1"/>
  <c r="G987" i="4"/>
  <c r="I987" i="4" s="1"/>
  <c r="H912" i="15"/>
  <c r="H31" i="5" l="1"/>
  <c r="G451" i="5"/>
  <c r="I451" i="5" s="1"/>
  <c r="I452" i="5"/>
  <c r="H164" i="5"/>
  <c r="E11" i="2"/>
  <c r="E30" i="2"/>
  <c r="E48" i="2"/>
  <c r="E36" i="2"/>
  <c r="G10" i="3"/>
  <c r="E34" i="2"/>
  <c r="G330" i="3"/>
  <c r="G503" i="3"/>
  <c r="E33" i="2"/>
  <c r="E27" i="2"/>
  <c r="E47" i="2"/>
  <c r="G963" i="3"/>
  <c r="E43" i="2"/>
  <c r="G905" i="3"/>
  <c r="F805" i="3"/>
  <c r="H805" i="3" s="1"/>
  <c r="H806" i="3"/>
  <c r="E35" i="2"/>
  <c r="E20" i="2"/>
  <c r="G799" i="3"/>
  <c r="E39" i="2"/>
  <c r="H16" i="15"/>
  <c r="G15" i="15"/>
  <c r="F111" i="14"/>
  <c r="F110" i="14" s="1"/>
  <c r="F772" i="14"/>
  <c r="F771" i="14" s="1"/>
  <c r="F770" i="14" s="1"/>
  <c r="G347" i="15"/>
  <c r="G346" i="15" s="1"/>
  <c r="H568" i="16"/>
  <c r="H569" i="16" s="1"/>
  <c r="G799" i="14"/>
  <c r="G798" i="14" s="1"/>
  <c r="G797" i="14" s="1"/>
  <c r="H36" i="15"/>
  <c r="G44" i="14"/>
  <c r="G43" i="14" s="1"/>
  <c r="H1076" i="15"/>
  <c r="H1075" i="15" s="1"/>
  <c r="H384" i="15"/>
  <c r="G384" i="15"/>
  <c r="G25" i="14"/>
  <c r="G21" i="14" s="1"/>
  <c r="G20" i="14" s="1"/>
  <c r="F21" i="14"/>
  <c r="F20" i="14" s="1"/>
  <c r="G569" i="16"/>
  <c r="G567" i="16"/>
  <c r="G566" i="16" s="1"/>
  <c r="G565" i="16" s="1"/>
  <c r="G564" i="16" s="1"/>
  <c r="G563" i="16" s="1"/>
  <c r="G562" i="16" s="1"/>
  <c r="H348" i="15"/>
  <c r="G523" i="16"/>
  <c r="F117" i="3"/>
  <c r="H117" i="3" s="1"/>
  <c r="G986" i="4"/>
  <c r="G934" i="15"/>
  <c r="H934" i="15" s="1"/>
  <c r="G1066" i="4"/>
  <c r="I1066" i="4" s="1"/>
  <c r="F336" i="3"/>
  <c r="H336" i="3" s="1"/>
  <c r="H897" i="15"/>
  <c r="G322" i="14" s="1"/>
  <c r="G321" i="14" s="1"/>
  <c r="G320" i="14" s="1"/>
  <c r="G434" i="5"/>
  <c r="I434" i="5" s="1"/>
  <c r="F22" i="3"/>
  <c r="H22" i="3" s="1"/>
  <c r="G943" i="4"/>
  <c r="G933" i="15" l="1"/>
  <c r="H933" i="15" s="1"/>
  <c r="I986" i="4"/>
  <c r="H896" i="15"/>
  <c r="I943" i="4"/>
  <c r="E38" i="2"/>
  <c r="E32" i="2"/>
  <c r="E41" i="2"/>
  <c r="E46" i="2"/>
  <c r="H567" i="16"/>
  <c r="H566" i="16" s="1"/>
  <c r="H565" i="16" s="1"/>
  <c r="H564" i="16" s="1"/>
  <c r="H563" i="16" s="1"/>
  <c r="H562" i="16" s="1"/>
  <c r="H523" i="16"/>
  <c r="H522" i="16" s="1"/>
  <c r="H521" i="16" s="1"/>
  <c r="H520" i="16" s="1"/>
  <c r="H519" i="16" s="1"/>
  <c r="H518" i="16" s="1"/>
  <c r="H517" i="16" s="1"/>
  <c r="G772" i="14"/>
  <c r="G771" i="14" s="1"/>
  <c r="G770" i="14" s="1"/>
  <c r="H347" i="15"/>
  <c r="H346" i="15" s="1"/>
  <c r="H15" i="15"/>
  <c r="G111" i="14"/>
  <c r="G110" i="14" s="1"/>
  <c r="G109" i="14" s="1"/>
  <c r="G524" i="16"/>
  <c r="G522" i="16"/>
  <c r="G521" i="16" s="1"/>
  <c r="G520" i="16" s="1"/>
  <c r="G519" i="16" s="1"/>
  <c r="G518" i="16" s="1"/>
  <c r="G517" i="16" s="1"/>
  <c r="G185" i="4"/>
  <c r="I185" i="4" s="1"/>
  <c r="H524" i="16" l="1"/>
  <c r="G184" i="4"/>
  <c r="H185" i="15"/>
  <c r="G85" i="4"/>
  <c r="I85" i="4" s="1"/>
  <c r="G82" i="4"/>
  <c r="I82" i="4" s="1"/>
  <c r="G76" i="4"/>
  <c r="I76" i="4" s="1"/>
  <c r="H184" i="15" l="1"/>
  <c r="I184" i="4"/>
  <c r="F89" i="14"/>
  <c r="F88" i="14" s="1"/>
  <c r="F85" i="14" s="1"/>
  <c r="G78" i="15"/>
  <c r="G75" i="15" s="1"/>
  <c r="F83" i="14"/>
  <c r="F82" i="14" s="1"/>
  <c r="F81" i="14" s="1"/>
  <c r="G72" i="15"/>
  <c r="G71" i="15" s="1"/>
  <c r="H73" i="15"/>
  <c r="G411" i="16"/>
  <c r="H79" i="15"/>
  <c r="G430" i="16"/>
  <c r="G81" i="4"/>
  <c r="I81" i="4" s="1"/>
  <c r="G84" i="4"/>
  <c r="G85" i="15"/>
  <c r="H85" i="15" s="1"/>
  <c r="G78" i="4"/>
  <c r="I78" i="4" s="1"/>
  <c r="F96" i="3"/>
  <c r="H96" i="3" s="1"/>
  <c r="G72" i="4"/>
  <c r="I72" i="4" s="1"/>
  <c r="F90" i="3"/>
  <c r="H90" i="3" s="1"/>
  <c r="G268" i="4"/>
  <c r="I268" i="4" s="1"/>
  <c r="G84" i="15" l="1"/>
  <c r="H84" i="15" s="1"/>
  <c r="H80" i="15" s="1"/>
  <c r="I84" i="4"/>
  <c r="H411" i="16"/>
  <c r="H412" i="16" s="1"/>
  <c r="G83" i="14"/>
  <c r="G82" i="14" s="1"/>
  <c r="G81" i="14" s="1"/>
  <c r="H72" i="15"/>
  <c r="H71" i="15" s="1"/>
  <c r="H430" i="16"/>
  <c r="H429" i="16" s="1"/>
  <c r="H425" i="16" s="1"/>
  <c r="H424" i="16" s="1"/>
  <c r="H414" i="16" s="1"/>
  <c r="H413" i="16" s="1"/>
  <c r="G89" i="14"/>
  <c r="G88" i="14" s="1"/>
  <c r="H78" i="15"/>
  <c r="H75" i="15" s="1"/>
  <c r="G410" i="16"/>
  <c r="G409" i="16" s="1"/>
  <c r="G408" i="16" s="1"/>
  <c r="G412" i="16"/>
  <c r="G80" i="15"/>
  <c r="G431" i="16"/>
  <c r="G429" i="16"/>
  <c r="G425" i="16" s="1"/>
  <c r="G424" i="16" s="1"/>
  <c r="G414" i="16" s="1"/>
  <c r="G413" i="16" s="1"/>
  <c r="G75" i="4"/>
  <c r="G267" i="4"/>
  <c r="G271" i="15"/>
  <c r="H271" i="15" s="1"/>
  <c r="G71" i="4"/>
  <c r="I71" i="4" s="1"/>
  <c r="G80" i="4"/>
  <c r="I80" i="4" s="1"/>
  <c r="F89" i="3"/>
  <c r="H89" i="3" s="1"/>
  <c r="G430" i="5"/>
  <c r="I430" i="5" s="1"/>
  <c r="F95" i="3"/>
  <c r="H95" i="3" s="1"/>
  <c r="G449" i="5"/>
  <c r="I449" i="5" s="1"/>
  <c r="G336" i="4"/>
  <c r="I336" i="4" s="1"/>
  <c r="G326" i="4"/>
  <c r="I326" i="4" s="1"/>
  <c r="G74" i="4" l="1"/>
  <c r="I74" i="4" s="1"/>
  <c r="I75" i="4"/>
  <c r="G270" i="15"/>
  <c r="H270" i="15" s="1"/>
  <c r="I267" i="4"/>
  <c r="H410" i="16"/>
  <c r="H409" i="16" s="1"/>
  <c r="H408" i="16" s="1"/>
  <c r="H407" i="16" s="1"/>
  <c r="H431" i="16"/>
  <c r="G406" i="16"/>
  <c r="G405" i="16" s="1"/>
  <c r="G407" i="16"/>
  <c r="G70" i="4"/>
  <c r="G325" i="4"/>
  <c r="G329" i="15"/>
  <c r="H329" i="15" s="1"/>
  <c r="G335" i="4"/>
  <c r="I335" i="4" s="1"/>
  <c r="G431" i="5"/>
  <c r="I431" i="5" s="1"/>
  <c r="G450" i="5"/>
  <c r="I450" i="5" s="1"/>
  <c r="F92" i="3"/>
  <c r="H92" i="3" s="1"/>
  <c r="G85" i="14"/>
  <c r="F88" i="3"/>
  <c r="H88" i="3" s="1"/>
  <c r="G406" i="4"/>
  <c r="I406" i="4" s="1"/>
  <c r="G328" i="15" l="1"/>
  <c r="H328" i="15" s="1"/>
  <c r="I325" i="4"/>
  <c r="G69" i="4"/>
  <c r="I69" i="4" s="1"/>
  <c r="I70" i="4"/>
  <c r="H406" i="16"/>
  <c r="H405" i="16" s="1"/>
  <c r="H70" i="15"/>
  <c r="G70" i="15"/>
  <c r="H74" i="15"/>
  <c r="G74" i="15"/>
  <c r="G334" i="4"/>
  <c r="I334" i="4" s="1"/>
  <c r="F87" i="3"/>
  <c r="H87" i="3" s="1"/>
  <c r="F91" i="3"/>
  <c r="H91" i="3" s="1"/>
  <c r="G41" i="6"/>
  <c r="G16" i="6"/>
  <c r="I16" i="6" s="1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 s="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989" i="5"/>
  <c r="I989" i="5" s="1"/>
  <c r="G982" i="5"/>
  <c r="I982" i="5" s="1"/>
  <c r="G929" i="5"/>
  <c r="I929" i="5" s="1"/>
  <c r="G924" i="5"/>
  <c r="I924" i="5" s="1"/>
  <c r="G919" i="5"/>
  <c r="I919" i="5" s="1"/>
  <c r="G939" i="5"/>
  <c r="I939" i="5" s="1"/>
  <c r="G933" i="5"/>
  <c r="I933" i="5" s="1"/>
  <c r="G958" i="5"/>
  <c r="I958" i="5" s="1"/>
  <c r="G908" i="5"/>
  <c r="I908" i="5" s="1"/>
  <c r="G900" i="5"/>
  <c r="I900" i="5" s="1"/>
  <c r="G892" i="5"/>
  <c r="I892" i="5" s="1"/>
  <c r="G888" i="5"/>
  <c r="I888" i="5" s="1"/>
  <c r="G884" i="5"/>
  <c r="I884" i="5" s="1"/>
  <c r="G864" i="5"/>
  <c r="I864" i="5" s="1"/>
  <c r="G857" i="5"/>
  <c r="I857" i="5" s="1"/>
  <c r="G804" i="5"/>
  <c r="I804" i="5" s="1"/>
  <c r="G777" i="5"/>
  <c r="I777" i="5" s="1"/>
  <c r="G770" i="5"/>
  <c r="I770" i="5" s="1"/>
  <c r="G785" i="5"/>
  <c r="I785" i="5" s="1"/>
  <c r="G738" i="5"/>
  <c r="I738" i="5" s="1"/>
  <c r="G726" i="5"/>
  <c r="I726" i="5" s="1"/>
  <c r="G722" i="5"/>
  <c r="I722" i="5" s="1"/>
  <c r="G507" i="5"/>
  <c r="I507" i="5" s="1"/>
  <c r="G500" i="5"/>
  <c r="I500" i="5" s="1"/>
  <c r="G496" i="5"/>
  <c r="I496" i="5" s="1"/>
  <c r="G468" i="5"/>
  <c r="I468" i="5" s="1"/>
  <c r="G445" i="5"/>
  <c r="I445" i="5" s="1"/>
  <c r="G374" i="5"/>
  <c r="I374" i="5" s="1"/>
  <c r="G331" i="5"/>
  <c r="I331" i="5" s="1"/>
  <c r="G300" i="5"/>
  <c r="I300" i="5" s="1"/>
  <c r="G285" i="5"/>
  <c r="I285" i="5" s="1"/>
  <c r="G278" i="5"/>
  <c r="I278" i="5" s="1"/>
  <c r="G115" i="5"/>
  <c r="I115" i="5" s="1"/>
  <c r="G101" i="5"/>
  <c r="I101" i="5" s="1"/>
  <c r="G75" i="5"/>
  <c r="I75" i="5" s="1"/>
  <c r="G57" i="5"/>
  <c r="I57" i="5" s="1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40" i="10" s="1"/>
  <c r="G639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1160" i="4"/>
  <c r="I1160" i="4" s="1"/>
  <c r="G1157" i="4"/>
  <c r="I1157" i="4" s="1"/>
  <c r="G1149" i="4"/>
  <c r="I1149" i="4" s="1"/>
  <c r="G1146" i="4"/>
  <c r="I1146" i="4" s="1"/>
  <c r="G1130" i="4"/>
  <c r="I1130" i="4" s="1"/>
  <c r="G1127" i="4"/>
  <c r="I1127" i="4" s="1"/>
  <c r="G1117" i="4"/>
  <c r="I1117" i="4" s="1"/>
  <c r="G1104" i="4"/>
  <c r="I1104" i="4" s="1"/>
  <c r="G1099" i="4"/>
  <c r="I1099" i="4" s="1"/>
  <c r="G1095" i="4"/>
  <c r="I1095" i="4" s="1"/>
  <c r="G1085" i="4"/>
  <c r="I1085" i="4" s="1"/>
  <c r="G1080" i="4"/>
  <c r="I1080" i="4" s="1"/>
  <c r="G1078" i="4"/>
  <c r="I1078" i="4" s="1"/>
  <c r="G1064" i="4"/>
  <c r="I1064" i="4" s="1"/>
  <c r="G1057" i="4"/>
  <c r="I1057" i="4" s="1"/>
  <c r="G1054" i="4"/>
  <c r="I1054" i="4" s="1"/>
  <c r="G1049" i="4"/>
  <c r="I1049" i="4" s="1"/>
  <c r="G1060" i="4"/>
  <c r="I1060" i="4" s="1"/>
  <c r="G761" i="5"/>
  <c r="I761" i="5" s="1"/>
  <c r="G1042" i="4"/>
  <c r="G748" i="5"/>
  <c r="I748" i="5" s="1"/>
  <c r="G1016" i="4"/>
  <c r="I1016" i="4" s="1"/>
  <c r="G1012" i="4"/>
  <c r="I1012" i="4" s="1"/>
  <c r="G1008" i="4"/>
  <c r="I1008" i="4" s="1"/>
  <c r="G984" i="4"/>
  <c r="G982" i="4"/>
  <c r="G979" i="4"/>
  <c r="I979" i="4" s="1"/>
  <c r="G976" i="4"/>
  <c r="G974" i="4"/>
  <c r="G970" i="4"/>
  <c r="G968" i="4"/>
  <c r="I968" i="4" s="1"/>
  <c r="G899" i="15"/>
  <c r="H899" i="15" s="1"/>
  <c r="G922" i="4"/>
  <c r="I922" i="4" s="1"/>
  <c r="G909" i="4"/>
  <c r="I909" i="4" s="1"/>
  <c r="G890" i="4"/>
  <c r="I890" i="4" s="1"/>
  <c r="F142" i="3"/>
  <c r="H142" i="3" s="1"/>
  <c r="G874" i="4"/>
  <c r="I874" i="4" s="1"/>
  <c r="G862" i="4"/>
  <c r="I862" i="4" s="1"/>
  <c r="G827" i="4"/>
  <c r="I827" i="4" s="1"/>
  <c r="G823" i="4"/>
  <c r="I823" i="4" s="1"/>
  <c r="G820" i="4"/>
  <c r="I820" i="4" s="1"/>
  <c r="G492" i="5"/>
  <c r="I492" i="5" s="1"/>
  <c r="F976" i="3"/>
  <c r="H976" i="3" s="1"/>
  <c r="G477" i="5"/>
  <c r="I477" i="5" s="1"/>
  <c r="G787" i="4"/>
  <c r="I787" i="4" s="1"/>
  <c r="G771" i="4"/>
  <c r="I771" i="4" s="1"/>
  <c r="G758" i="4"/>
  <c r="I758" i="4" s="1"/>
  <c r="G750" i="4"/>
  <c r="I750" i="4" s="1"/>
  <c r="G746" i="4"/>
  <c r="I746" i="4" s="1"/>
  <c r="G741" i="4"/>
  <c r="I741" i="4" s="1"/>
  <c r="G730" i="4"/>
  <c r="I730" i="4" s="1"/>
  <c r="G716" i="4"/>
  <c r="I716" i="4" s="1"/>
  <c r="G711" i="4"/>
  <c r="I711" i="4" s="1"/>
  <c r="G696" i="4"/>
  <c r="I696" i="4" s="1"/>
  <c r="G693" i="4"/>
  <c r="I693" i="4" s="1"/>
  <c r="G364" i="5"/>
  <c r="I364" i="5" s="1"/>
  <c r="G686" i="4"/>
  <c r="I686" i="4" s="1"/>
  <c r="G668" i="4"/>
  <c r="I668" i="4" s="1"/>
  <c r="G660" i="15"/>
  <c r="G657" i="15"/>
  <c r="G654" i="4"/>
  <c r="I654" i="4" s="1"/>
  <c r="G648" i="4"/>
  <c r="I648" i="4" s="1"/>
  <c r="G645" i="4"/>
  <c r="I645" i="4" s="1"/>
  <c r="G622" i="4"/>
  <c r="I622" i="4" s="1"/>
  <c r="G617" i="4"/>
  <c r="I617" i="4" s="1"/>
  <c r="G605" i="4"/>
  <c r="I605" i="4" s="1"/>
  <c r="G602" i="4"/>
  <c r="I602" i="4" s="1"/>
  <c r="G596" i="4"/>
  <c r="I596" i="4" s="1"/>
  <c r="G592" i="4"/>
  <c r="I592" i="4" s="1"/>
  <c r="G588" i="4"/>
  <c r="I588" i="4" s="1"/>
  <c r="G577" i="15"/>
  <c r="G574" i="4"/>
  <c r="I574" i="4" s="1"/>
  <c r="G568" i="4"/>
  <c r="I568" i="4" s="1"/>
  <c r="G550" i="4"/>
  <c r="I550" i="4" s="1"/>
  <c r="G547" i="4"/>
  <c r="I547" i="4" s="1"/>
  <c r="G518" i="4"/>
  <c r="I518" i="4" s="1"/>
  <c r="G505" i="4"/>
  <c r="I505" i="4" s="1"/>
  <c r="G498" i="4"/>
  <c r="I498" i="4" s="1"/>
  <c r="G471" i="4"/>
  <c r="I471" i="4" s="1"/>
  <c r="G455" i="4"/>
  <c r="I455" i="4" s="1"/>
  <c r="G443" i="4"/>
  <c r="I443" i="4" s="1"/>
  <c r="G436" i="4"/>
  <c r="I436" i="4" s="1"/>
  <c r="G431" i="4"/>
  <c r="I431" i="4" s="1"/>
  <c r="F864" i="3"/>
  <c r="H864" i="3" s="1"/>
  <c r="G424" i="4"/>
  <c r="I424" i="4" s="1"/>
  <c r="G421" i="4"/>
  <c r="G419" i="4"/>
  <c r="I419" i="4" s="1"/>
  <c r="G413" i="4"/>
  <c r="I413" i="4" s="1"/>
  <c r="G408" i="4"/>
  <c r="I408" i="4" s="1"/>
  <c r="G403" i="4"/>
  <c r="I403" i="4" s="1"/>
  <c r="G400" i="4"/>
  <c r="I400" i="4" s="1"/>
  <c r="G393" i="4"/>
  <c r="I393" i="4" s="1"/>
  <c r="G390" i="4"/>
  <c r="I390" i="4" s="1"/>
  <c r="G382" i="4"/>
  <c r="I382" i="4" s="1"/>
  <c r="F839" i="3"/>
  <c r="H839" i="3" s="1"/>
  <c r="G608" i="5"/>
  <c r="I608" i="5" s="1"/>
  <c r="G365" i="4"/>
  <c r="I365" i="4" s="1"/>
  <c r="G358" i="4"/>
  <c r="I358" i="4" s="1"/>
  <c r="F815" i="3"/>
  <c r="H815" i="3" s="1"/>
  <c r="G331" i="4"/>
  <c r="I331" i="4" s="1"/>
  <c r="G316" i="4"/>
  <c r="I316" i="4" s="1"/>
  <c r="G295" i="4"/>
  <c r="I295" i="4" s="1"/>
  <c r="G292" i="4"/>
  <c r="I292" i="4" s="1"/>
  <c r="G288" i="4"/>
  <c r="I288" i="4" s="1"/>
  <c r="G265" i="4"/>
  <c r="I265" i="4" s="1"/>
  <c r="G261" i="4"/>
  <c r="I261" i="4" s="1"/>
  <c r="G258" i="4"/>
  <c r="I258" i="4" s="1"/>
  <c r="G254" i="4"/>
  <c r="I254" i="4" s="1"/>
  <c r="G251" i="4"/>
  <c r="I251" i="4" s="1"/>
  <c r="G243" i="4"/>
  <c r="I243" i="4" s="1"/>
  <c r="G238" i="4"/>
  <c r="I238" i="4" s="1"/>
  <c r="G235" i="4"/>
  <c r="I235" i="4" s="1"/>
  <c r="G232" i="4"/>
  <c r="I232" i="4" s="1"/>
  <c r="G229" i="4"/>
  <c r="I229" i="4" s="1"/>
  <c r="G226" i="4"/>
  <c r="I226" i="4" s="1"/>
  <c r="G221" i="4"/>
  <c r="I221" i="4" s="1"/>
  <c r="F918" i="14"/>
  <c r="F917" i="14" s="1"/>
  <c r="F914" i="14" s="1"/>
  <c r="H211" i="15"/>
  <c r="G201" i="4"/>
  <c r="I201" i="4" s="1"/>
  <c r="G195" i="4"/>
  <c r="I195" i="4" s="1"/>
  <c r="G188" i="4"/>
  <c r="I188" i="4" s="1"/>
  <c r="G172" i="4"/>
  <c r="I172" i="4" s="1"/>
  <c r="G165" i="4"/>
  <c r="I165" i="4" s="1"/>
  <c r="G158" i="4"/>
  <c r="I158" i="4" s="1"/>
  <c r="G150" i="4"/>
  <c r="I150" i="4" s="1"/>
  <c r="G139" i="4"/>
  <c r="I139" i="4" s="1"/>
  <c r="G132" i="4"/>
  <c r="I132" i="4" s="1"/>
  <c r="G127" i="4"/>
  <c r="I127" i="4" s="1"/>
  <c r="G122" i="4"/>
  <c r="I122" i="4" s="1"/>
  <c r="G118" i="4"/>
  <c r="I118" i="4" s="1"/>
  <c r="G429" i="5"/>
  <c r="I429" i="5" s="1"/>
  <c r="G113" i="4"/>
  <c r="I113" i="4" s="1"/>
  <c r="G94" i="4"/>
  <c r="I94" i="4" s="1"/>
  <c r="G91" i="4"/>
  <c r="I91" i="4" s="1"/>
  <c r="F75" i="14"/>
  <c r="F74" i="14" s="1"/>
  <c r="F73" i="14"/>
  <c r="F72" i="14" s="1"/>
  <c r="G63" i="4"/>
  <c r="F68" i="14"/>
  <c r="F67" i="14" s="1"/>
  <c r="F63" i="14"/>
  <c r="F62" i="14" s="1"/>
  <c r="F61" i="14" s="1"/>
  <c r="G47" i="4"/>
  <c r="G43" i="4"/>
  <c r="I43" i="4" s="1"/>
  <c r="G35" i="4"/>
  <c r="I35" i="4" s="1"/>
  <c r="G31" i="4"/>
  <c r="I31" i="4" s="1"/>
  <c r="G23" i="4"/>
  <c r="I23" i="4" s="1"/>
  <c r="G20" i="4"/>
  <c r="I20" i="4" s="1"/>
  <c r="G18" i="4"/>
  <c r="I18" i="4" s="1"/>
  <c r="G16" i="4"/>
  <c r="I16" i="4" s="1"/>
  <c r="F1028" i="3"/>
  <c r="H1028" i="3" s="1"/>
  <c r="F992" i="3"/>
  <c r="F989" i="3"/>
  <c r="H989" i="3" s="1"/>
  <c r="F986" i="3"/>
  <c r="H986" i="3" s="1"/>
  <c r="F959" i="3"/>
  <c r="H959" i="3" s="1"/>
  <c r="F942" i="3"/>
  <c r="H942" i="3" s="1"/>
  <c r="F938" i="3"/>
  <c r="H938" i="3" s="1"/>
  <c r="F890" i="3"/>
  <c r="H890" i="3" s="1"/>
  <c r="F885" i="3"/>
  <c r="H885" i="3" s="1"/>
  <c r="F871" i="3"/>
  <c r="H871" i="3" s="1"/>
  <c r="F860" i="3"/>
  <c r="H860" i="3" s="1"/>
  <c r="F854" i="3"/>
  <c r="H854" i="3" s="1"/>
  <c r="F847" i="3"/>
  <c r="H847" i="3" s="1"/>
  <c r="F842" i="3"/>
  <c r="H842" i="3" s="1"/>
  <c r="F826" i="3"/>
  <c r="H826" i="3" s="1"/>
  <c r="F809" i="3"/>
  <c r="H809" i="3" s="1"/>
  <c r="F667" i="3"/>
  <c r="H667" i="3" s="1"/>
  <c r="F662" i="3"/>
  <c r="H662" i="3" s="1"/>
  <c r="F640" i="3"/>
  <c r="H640" i="3" s="1"/>
  <c r="F599" i="3"/>
  <c r="H599" i="3" s="1"/>
  <c r="F596" i="3"/>
  <c r="H596" i="3" s="1"/>
  <c r="F586" i="3"/>
  <c r="H586" i="3" s="1"/>
  <c r="F583" i="3"/>
  <c r="H583" i="3" s="1"/>
  <c r="F572" i="3"/>
  <c r="H572" i="3" s="1"/>
  <c r="F561" i="3"/>
  <c r="H561" i="3" s="1"/>
  <c r="F556" i="3"/>
  <c r="H556" i="3" s="1"/>
  <c r="F553" i="3"/>
  <c r="H553" i="3" s="1"/>
  <c r="F543" i="3"/>
  <c r="H543" i="3" s="1"/>
  <c r="F539" i="3"/>
  <c r="H539" i="3" s="1"/>
  <c r="F519" i="3"/>
  <c r="H519" i="3" s="1"/>
  <c r="F491" i="3"/>
  <c r="H491" i="3" s="1"/>
  <c r="F472" i="3"/>
  <c r="H472" i="3" s="1"/>
  <c r="F453" i="3"/>
  <c r="F450" i="3"/>
  <c r="H450" i="3" s="1"/>
  <c r="F445" i="3"/>
  <c r="H445" i="3" s="1"/>
  <c r="F442" i="3"/>
  <c r="H442" i="3" s="1"/>
  <c r="F379" i="3"/>
  <c r="H379" i="3" s="1"/>
  <c r="F362" i="3"/>
  <c r="F335" i="3"/>
  <c r="H335" i="3" s="1"/>
  <c r="F219" i="3"/>
  <c r="H219" i="3" s="1"/>
  <c r="F215" i="3"/>
  <c r="H215" i="3" s="1"/>
  <c r="F205" i="3"/>
  <c r="H205" i="3" s="1"/>
  <c r="F201" i="3"/>
  <c r="H201" i="3" s="1"/>
  <c r="F186" i="3"/>
  <c r="H186" i="3" s="1"/>
  <c r="F183" i="3"/>
  <c r="H183" i="3" s="1"/>
  <c r="F177" i="3"/>
  <c r="H177" i="3" s="1"/>
  <c r="F122" i="3"/>
  <c r="H122" i="3" s="1"/>
  <c r="F119" i="3"/>
  <c r="H119" i="3" s="1"/>
  <c r="F50" i="3"/>
  <c r="H50" i="3" s="1"/>
  <c r="F37" i="3"/>
  <c r="H37" i="3" s="1"/>
  <c r="F18" i="3"/>
  <c r="H18" i="3" s="1"/>
  <c r="C162" i="1"/>
  <c r="E162" i="1" s="1"/>
  <c r="C152" i="1"/>
  <c r="E152" i="1" s="1"/>
  <c r="C134" i="1"/>
  <c r="E134" i="1" s="1"/>
  <c r="C122" i="1"/>
  <c r="E122" i="1" s="1"/>
  <c r="C116" i="1"/>
  <c r="C103" i="1"/>
  <c r="E103" i="1" s="1"/>
  <c r="C101" i="1"/>
  <c r="E101" i="1" s="1"/>
  <c r="C89" i="1"/>
  <c r="C73" i="1"/>
  <c r="E73" i="1" s="1"/>
  <c r="C62" i="1"/>
  <c r="E62" i="1" s="1"/>
  <c r="C60" i="1"/>
  <c r="E60" i="1" s="1"/>
  <c r="C47" i="1"/>
  <c r="E47" i="1" s="1"/>
  <c r="C45" i="1"/>
  <c r="E45" i="1" s="1"/>
  <c r="C41" i="1"/>
  <c r="E41" i="1" s="1"/>
  <c r="C33" i="1"/>
  <c r="E33" i="1" s="1"/>
  <c r="C28" i="1"/>
  <c r="G46" i="4" l="1"/>
  <c r="I46" i="4" s="1"/>
  <c r="I47" i="4"/>
  <c r="G987" i="15"/>
  <c r="G721" i="16" s="1"/>
  <c r="I1042" i="4"/>
  <c r="E116" i="1"/>
  <c r="C110" i="1"/>
  <c r="E110" i="1" s="1"/>
  <c r="G421" i="15"/>
  <c r="H421" i="15" s="1"/>
  <c r="I421" i="4"/>
  <c r="G917" i="15"/>
  <c r="H917" i="15" s="1"/>
  <c r="I970" i="4"/>
  <c r="G929" i="15"/>
  <c r="H929" i="15" s="1"/>
  <c r="I982" i="4"/>
  <c r="G923" i="15"/>
  <c r="H923" i="15" s="1"/>
  <c r="I976" i="4"/>
  <c r="F70" i="14"/>
  <c r="F69" i="14" s="1"/>
  <c r="I63" i="4"/>
  <c r="H921" i="15"/>
  <c r="I974" i="4"/>
  <c r="G931" i="15"/>
  <c r="H931" i="15" s="1"/>
  <c r="I984" i="4"/>
  <c r="G40" i="6"/>
  <c r="I41" i="6"/>
  <c r="F428" i="14"/>
  <c r="G428" i="14" s="1"/>
  <c r="H453" i="3"/>
  <c r="F342" i="14"/>
  <c r="G342" i="14" s="1"/>
  <c r="H362" i="3"/>
  <c r="F949" i="14"/>
  <c r="H992" i="3"/>
  <c r="C22" i="1"/>
  <c r="E22" i="1" s="1"/>
  <c r="E28" i="1"/>
  <c r="C88" i="1"/>
  <c r="E88" i="1" s="1"/>
  <c r="E89" i="1"/>
  <c r="C127" i="1"/>
  <c r="G158" i="11"/>
  <c r="G51" i="10"/>
  <c r="G50" i="10" s="1"/>
  <c r="G49" i="10" s="1"/>
  <c r="G48" i="10" s="1"/>
  <c r="G15" i="10"/>
  <c r="G14" i="10" s="1"/>
  <c r="G13" i="10" s="1"/>
  <c r="G12" i="10" s="1"/>
  <c r="G11" i="10" s="1"/>
  <c r="G10" i="10" s="1"/>
  <c r="G375" i="10"/>
  <c r="G374" i="10" s="1"/>
  <c r="G657" i="10"/>
  <c r="G656" i="10" s="1"/>
  <c r="C109" i="1"/>
  <c r="E109" i="1" s="1"/>
  <c r="G485" i="10"/>
  <c r="G650" i="10"/>
  <c r="G646" i="10" s="1"/>
  <c r="G728" i="10"/>
  <c r="G727" i="10" s="1"/>
  <c r="G726" i="10" s="1"/>
  <c r="G43" i="10"/>
  <c r="G42" i="10" s="1"/>
  <c r="G408" i="10"/>
  <c r="G407" i="10" s="1"/>
  <c r="G299" i="10"/>
  <c r="G280" i="10" s="1"/>
  <c r="G116" i="10"/>
  <c r="G98" i="10" s="1"/>
  <c r="G139" i="10"/>
  <c r="G32" i="10"/>
  <c r="G31" i="10" s="1"/>
  <c r="G391" i="10"/>
  <c r="G792" i="10"/>
  <c r="G791" i="10" s="1"/>
  <c r="G786" i="10" s="1"/>
  <c r="G785" i="10" s="1"/>
  <c r="G215" i="10"/>
  <c r="G214" i="10" s="1"/>
  <c r="G213" i="10" s="1"/>
  <c r="G212" i="10" s="1"/>
  <c r="G913" i="10"/>
  <c r="G909" i="10" s="1"/>
  <c r="G381" i="10"/>
  <c r="G380" i="10" s="1"/>
  <c r="G879" i="10"/>
  <c r="G878" i="10" s="1"/>
  <c r="G968" i="10"/>
  <c r="G967" i="10" s="1"/>
  <c r="G966" i="10" s="1"/>
  <c r="G965" i="10" s="1"/>
  <c r="G964" i="10" s="1"/>
  <c r="G990" i="10" s="1"/>
  <c r="G190" i="10"/>
  <c r="G186" i="10" s="1"/>
  <c r="G185" i="10" s="1"/>
  <c r="G184" i="10" s="1"/>
  <c r="G177" i="10" s="1"/>
  <c r="G339" i="10"/>
  <c r="G613" i="10"/>
  <c r="G948" i="10"/>
  <c r="G947" i="10" s="1"/>
  <c r="G946" i="10" s="1"/>
  <c r="G945" i="10" s="1"/>
  <c r="G396" i="11"/>
  <c r="G376" i="11" s="1"/>
  <c r="G375" i="11" s="1"/>
  <c r="G374" i="11" s="1"/>
  <c r="G404" i="11" s="1"/>
  <c r="G633" i="10"/>
  <c r="G920" i="15"/>
  <c r="G65" i="10"/>
  <c r="G61" i="10" s="1"/>
  <c r="G997" i="10" s="1"/>
  <c r="G147" i="10"/>
  <c r="G982" i="10" s="1"/>
  <c r="G169" i="10"/>
  <c r="G162" i="10" s="1"/>
  <c r="G161" i="10" s="1"/>
  <c r="G160" i="10" s="1"/>
  <c r="G159" i="10" s="1"/>
  <c r="G983" i="10" s="1"/>
  <c r="G310" i="10"/>
  <c r="G306" i="10" s="1"/>
  <c r="G344" i="10"/>
  <c r="G623" i="10"/>
  <c r="G622" i="10" s="1"/>
  <c r="G801" i="10"/>
  <c r="G1005" i="10" s="1"/>
  <c r="G838" i="10"/>
  <c r="G837" i="10" s="1"/>
  <c r="G464" i="10"/>
  <c r="G463" i="10" s="1"/>
  <c r="G462" i="10" s="1"/>
  <c r="G461" i="10" s="1"/>
  <c r="G460" i="10" s="1"/>
  <c r="G677" i="10"/>
  <c r="G676" i="10" s="1"/>
  <c r="G707" i="10"/>
  <c r="G706" i="10" s="1"/>
  <c r="G705" i="10" s="1"/>
  <c r="G527" i="10"/>
  <c r="G526" i="10" s="1"/>
  <c r="G694" i="10"/>
  <c r="G693" i="10" s="1"/>
  <c r="G1007" i="10"/>
  <c r="G261" i="10"/>
  <c r="G260" i="10" s="1"/>
  <c r="G236" i="10" s="1"/>
  <c r="G235" i="10" s="1"/>
  <c r="G479" i="10"/>
  <c r="G478" i="10" s="1"/>
  <c r="G477" i="10" s="1"/>
  <c r="G513" i="10"/>
  <c r="G508" i="10" s="1"/>
  <c r="G99" i="10"/>
  <c r="G860" i="10"/>
  <c r="G859" i="10" s="1"/>
  <c r="G666" i="10"/>
  <c r="G662" i="10" s="1"/>
  <c r="G741" i="10"/>
  <c r="G740" i="10" s="1"/>
  <c r="G756" i="10"/>
  <c r="G755" i="10" s="1"/>
  <c r="G750" i="10" s="1"/>
  <c r="G749" i="10" s="1"/>
  <c r="G779" i="10"/>
  <c r="G778" i="10" s="1"/>
  <c r="G993" i="10" s="1"/>
  <c r="G849" i="10"/>
  <c r="G902" i="10"/>
  <c r="G901" i="10" s="1"/>
  <c r="G953" i="10"/>
  <c r="G359" i="10"/>
  <c r="G434" i="10"/>
  <c r="G421" i="10" s="1"/>
  <c r="G641" i="10"/>
  <c r="G735" i="10"/>
  <c r="G734" i="10" s="1"/>
  <c r="G827" i="10"/>
  <c r="G938" i="10"/>
  <c r="G937" i="10" s="1"/>
  <c r="G936" i="10" s="1"/>
  <c r="G935" i="10" s="1"/>
  <c r="G72" i="11"/>
  <c r="G71" i="11" s="1"/>
  <c r="G70" i="11" s="1"/>
  <c r="G69" i="11" s="1"/>
  <c r="G80" i="11" s="1"/>
  <c r="G996" i="10"/>
  <c r="G73" i="10"/>
  <c r="G999" i="10" s="1"/>
  <c r="G134" i="10"/>
  <c r="G998" i="10"/>
  <c r="G202" i="10"/>
  <c r="G581" i="10"/>
  <c r="G580" i="10" s="1"/>
  <c r="C120" i="12"/>
  <c r="G444" i="10"/>
  <c r="G443" i="10" s="1"/>
  <c r="G552" i="10"/>
  <c r="G547" i="10" s="1"/>
  <c r="H156" i="15"/>
  <c r="F237" i="14"/>
  <c r="F236" i="14" s="1"/>
  <c r="G155" i="15"/>
  <c r="F599" i="14"/>
  <c r="F598" i="14" s="1"/>
  <c r="F597" i="14" s="1"/>
  <c r="G665" i="15"/>
  <c r="G664" i="15" s="1"/>
  <c r="F734" i="14"/>
  <c r="F733" i="14" s="1"/>
  <c r="F732" i="14" s="1"/>
  <c r="G741" i="15"/>
  <c r="G740" i="15" s="1"/>
  <c r="H826" i="15"/>
  <c r="F969" i="14"/>
  <c r="F968" i="14" s="1"/>
  <c r="F967" i="14" s="1"/>
  <c r="G825" i="15"/>
  <c r="G824" i="15" s="1"/>
  <c r="F523" i="14"/>
  <c r="F522" i="14" s="1"/>
  <c r="F521" i="14" s="1"/>
  <c r="G589" i="15"/>
  <c r="G588" i="15" s="1"/>
  <c r="H751" i="15"/>
  <c r="F743" i="14"/>
  <c r="F742" i="14" s="1"/>
  <c r="G750" i="15"/>
  <c r="F992" i="14"/>
  <c r="F991" i="14" s="1"/>
  <c r="G848" i="15"/>
  <c r="H905" i="15"/>
  <c r="H904" i="15" s="1"/>
  <c r="H903" i="15" s="1"/>
  <c r="G904" i="15"/>
  <c r="G903" i="15" s="1"/>
  <c r="H1028" i="15"/>
  <c r="G1027" i="15"/>
  <c r="G1022" i="15" s="1"/>
  <c r="F453" i="14"/>
  <c r="F452" i="14" s="1"/>
  <c r="F447" i="14" s="1"/>
  <c r="F71" i="14"/>
  <c r="H154" i="15"/>
  <c r="G235" i="14" s="1"/>
  <c r="G234" i="14" s="1"/>
  <c r="F235" i="14"/>
  <c r="F234" i="14" s="1"/>
  <c r="G153" i="15"/>
  <c r="F250" i="14"/>
  <c r="F249" i="14" s="1"/>
  <c r="F248" i="14" s="1"/>
  <c r="G168" i="15"/>
  <c r="G167" i="15" s="1"/>
  <c r="F722" i="14"/>
  <c r="F721" i="14" s="1"/>
  <c r="F720" i="14" s="1"/>
  <c r="G333" i="15"/>
  <c r="G332" i="15" s="1"/>
  <c r="F620" i="14"/>
  <c r="F619" i="14" s="1"/>
  <c r="F618" i="14" s="1"/>
  <c r="G686" i="15"/>
  <c r="G685" i="15" s="1"/>
  <c r="F963" i="14"/>
  <c r="F962" i="14" s="1"/>
  <c r="F961" i="14" s="1"/>
  <c r="G819" i="15"/>
  <c r="G818" i="15" s="1"/>
  <c r="H838" i="15"/>
  <c r="G837" i="15"/>
  <c r="F981" i="14"/>
  <c r="F980" i="14" s="1"/>
  <c r="G983" i="15"/>
  <c r="G982" i="15" s="1"/>
  <c r="F409" i="14"/>
  <c r="F408" i="14" s="1"/>
  <c r="F407" i="14" s="1"/>
  <c r="H1036" i="15"/>
  <c r="F461" i="14"/>
  <c r="F460" i="14" s="1"/>
  <c r="F459" i="14" s="1"/>
  <c r="G1035" i="15"/>
  <c r="G1034" i="15" s="1"/>
  <c r="H1088" i="15"/>
  <c r="F33" i="14"/>
  <c r="F32" i="14" s="1"/>
  <c r="F31" i="14" s="1"/>
  <c r="G1087" i="15"/>
  <c r="G1086" i="15" s="1"/>
  <c r="H210" i="15"/>
  <c r="G916" i="14"/>
  <c r="G915" i="14" s="1"/>
  <c r="F654" i="14"/>
  <c r="F653" i="14" s="1"/>
  <c r="F652" i="14" s="1"/>
  <c r="G720" i="15"/>
  <c r="G719" i="15" s="1"/>
  <c r="H761" i="15"/>
  <c r="F753" i="14"/>
  <c r="F752" i="14" s="1"/>
  <c r="F751" i="14" s="1"/>
  <c r="G760" i="15"/>
  <c r="G759" i="15" s="1"/>
  <c r="H902" i="15"/>
  <c r="F327" i="14"/>
  <c r="F326" i="14" s="1"/>
  <c r="F325" i="14" s="1"/>
  <c r="G901" i="15"/>
  <c r="G900" i="15" s="1"/>
  <c r="H531" i="15"/>
  <c r="H530" i="15" s="1"/>
  <c r="H529" i="15" s="1"/>
  <c r="G530" i="15"/>
  <c r="G529" i="15" s="1"/>
  <c r="H765" i="15"/>
  <c r="G757" i="14" s="1"/>
  <c r="G756" i="14" s="1"/>
  <c r="F757" i="14"/>
  <c r="F756" i="14" s="1"/>
  <c r="G764" i="15"/>
  <c r="H878" i="15"/>
  <c r="F260" i="14"/>
  <c r="F259" i="14" s="1"/>
  <c r="F258" i="14" s="1"/>
  <c r="G877" i="15"/>
  <c r="G876" i="15" s="1"/>
  <c r="H150" i="15"/>
  <c r="G149" i="15"/>
  <c r="G148" i="15" s="1"/>
  <c r="G144" i="15" s="1"/>
  <c r="F231" i="14"/>
  <c r="F230" i="14" s="1"/>
  <c r="F229" i="14" s="1"/>
  <c r="F164" i="14"/>
  <c r="F163" i="14" s="1"/>
  <c r="F162" i="14" s="1"/>
  <c r="G221" i="15"/>
  <c r="G220" i="15" s="1"/>
  <c r="H534" i="15"/>
  <c r="F330" i="14"/>
  <c r="F329" i="14" s="1"/>
  <c r="F328" i="14" s="1"/>
  <c r="G533" i="15"/>
  <c r="G532" i="15" s="1"/>
  <c r="F663" i="14"/>
  <c r="F662" i="14" s="1"/>
  <c r="F661" i="14" s="1"/>
  <c r="G729" i="15"/>
  <c r="G728" i="15" s="1"/>
  <c r="H753" i="15"/>
  <c r="F745" i="14"/>
  <c r="F744" i="14" s="1"/>
  <c r="G752" i="15"/>
  <c r="H767" i="15"/>
  <c r="G759" i="14" s="1"/>
  <c r="G758" i="14" s="1"/>
  <c r="F759" i="14"/>
  <c r="F758" i="14" s="1"/>
  <c r="G766" i="15"/>
  <c r="F954" i="14"/>
  <c r="F953" i="14" s="1"/>
  <c r="F952" i="14" s="1"/>
  <c r="G810" i="15"/>
  <c r="G809" i="15" s="1"/>
  <c r="H834" i="15"/>
  <c r="F977" i="14"/>
  <c r="F976" i="14" s="1"/>
  <c r="G833" i="15"/>
  <c r="H1045" i="15"/>
  <c r="F470" i="14"/>
  <c r="G1044" i="15"/>
  <c r="G1041" i="15" s="1"/>
  <c r="H1099" i="15"/>
  <c r="G1098" i="15"/>
  <c r="G1097" i="15" s="1"/>
  <c r="F102" i="14"/>
  <c r="F101" i="14" s="1"/>
  <c r="F100" i="14" s="1"/>
  <c r="H516" i="15"/>
  <c r="F143" i="14"/>
  <c r="F142" i="14" s="1"/>
  <c r="F141" i="14" s="1"/>
  <c r="G515" i="15"/>
  <c r="G514" i="15" s="1"/>
  <c r="F585" i="14"/>
  <c r="F584" i="14" s="1"/>
  <c r="F583" i="14" s="1"/>
  <c r="G651" i="15"/>
  <c r="G650" i="15" s="1"/>
  <c r="F579" i="14"/>
  <c r="F578" i="14" s="1"/>
  <c r="F577" i="14" s="1"/>
  <c r="G645" i="15"/>
  <c r="G644" i="15" s="1"/>
  <c r="G631" i="15" s="1"/>
  <c r="F505" i="14"/>
  <c r="F504" i="14" s="1"/>
  <c r="F503" i="14" s="1"/>
  <c r="G571" i="15"/>
  <c r="G570" i="15" s="1"/>
  <c r="G565" i="15"/>
  <c r="G564" i="15" s="1"/>
  <c r="F499" i="14"/>
  <c r="F498" i="14" s="1"/>
  <c r="F497" i="14" s="1"/>
  <c r="H56" i="15"/>
  <c r="G55" i="15"/>
  <c r="H66" i="15"/>
  <c r="G65" i="15"/>
  <c r="H68" i="15"/>
  <c r="G67" i="15"/>
  <c r="H61" i="15"/>
  <c r="G60" i="15"/>
  <c r="H213" i="15"/>
  <c r="G212" i="15"/>
  <c r="G209" i="15" s="1"/>
  <c r="H63" i="15"/>
  <c r="G62" i="15"/>
  <c r="H14" i="15"/>
  <c r="G14" i="15"/>
  <c r="G180" i="15"/>
  <c r="G177" i="15" s="1"/>
  <c r="G105" i="16"/>
  <c r="G913" i="16"/>
  <c r="G912" i="16" s="1"/>
  <c r="G911" i="16" s="1"/>
  <c r="G910" i="16" s="1"/>
  <c r="G915" i="16" s="1"/>
  <c r="G69" i="15"/>
  <c r="H69" i="15"/>
  <c r="H652" i="15"/>
  <c r="G241" i="16"/>
  <c r="H666" i="15"/>
  <c r="G331" i="16"/>
  <c r="H820" i="15"/>
  <c r="G908" i="16"/>
  <c r="H337" i="15"/>
  <c r="G337" i="15"/>
  <c r="H222" i="15"/>
  <c r="G154" i="16"/>
  <c r="H334" i="15"/>
  <c r="G45" i="16"/>
  <c r="H63" i="16"/>
  <c r="G63" i="16"/>
  <c r="G212" i="16"/>
  <c r="H590" i="15"/>
  <c r="G285" i="16"/>
  <c r="H687" i="15"/>
  <c r="G364" i="16"/>
  <c r="H730" i="15"/>
  <c r="G379" i="16"/>
  <c r="H984" i="15"/>
  <c r="G715" i="16"/>
  <c r="H646" i="15"/>
  <c r="G233" i="16"/>
  <c r="H811" i="15"/>
  <c r="G496" i="16"/>
  <c r="H566" i="15"/>
  <c r="G204" i="16"/>
  <c r="H721" i="15"/>
  <c r="G258" i="16"/>
  <c r="H742" i="15"/>
  <c r="G387" i="16"/>
  <c r="H849" i="15"/>
  <c r="G514" i="16"/>
  <c r="H577" i="15"/>
  <c r="H266" i="16" s="1"/>
  <c r="H265" i="16" s="1"/>
  <c r="H264" i="16" s="1"/>
  <c r="H263" i="16" s="1"/>
  <c r="H262" i="16" s="1"/>
  <c r="H261" i="16" s="1"/>
  <c r="G266" i="16"/>
  <c r="H660" i="15"/>
  <c r="H323" i="16" s="1"/>
  <c r="H324" i="16" s="1"/>
  <c r="G323" i="16"/>
  <c r="H657" i="15"/>
  <c r="H319" i="16" s="1"/>
  <c r="H320" i="16" s="1"/>
  <c r="G319" i="16"/>
  <c r="H807" i="16"/>
  <c r="H806" i="16" s="1"/>
  <c r="H805" i="16" s="1"/>
  <c r="H804" i="16" s="1"/>
  <c r="H803" i="16" s="1"/>
  <c r="H802" i="16" s="1"/>
  <c r="G807" i="16"/>
  <c r="H944" i="15"/>
  <c r="G793" i="16"/>
  <c r="H987" i="15"/>
  <c r="H721" i="16" s="1"/>
  <c r="H722" i="16" s="1"/>
  <c r="G84" i="14"/>
  <c r="F84" i="14"/>
  <c r="G80" i="14"/>
  <c r="F80" i="14"/>
  <c r="H169" i="15"/>
  <c r="G771" i="16"/>
  <c r="G90" i="4"/>
  <c r="I90" i="4" s="1"/>
  <c r="G737" i="5"/>
  <c r="G112" i="4"/>
  <c r="I112" i="4" s="1"/>
  <c r="G126" i="4"/>
  <c r="G242" i="4"/>
  <c r="I242" i="4" s="1"/>
  <c r="G682" i="5"/>
  <c r="G298" i="15"/>
  <c r="G364" i="4"/>
  <c r="G407" i="4"/>
  <c r="I407" i="4" s="1"/>
  <c r="G423" i="4"/>
  <c r="I423" i="4" s="1"/>
  <c r="G470" i="4"/>
  <c r="I470" i="4" s="1"/>
  <c r="G710" i="4"/>
  <c r="I710" i="4" s="1"/>
  <c r="H695" i="15"/>
  <c r="G749" i="4"/>
  <c r="I749" i="4" s="1"/>
  <c r="F393" i="3"/>
  <c r="G948" i="15"/>
  <c r="F377" i="14" s="1"/>
  <c r="F376" i="14" s="1"/>
  <c r="F375" i="14" s="1"/>
  <c r="G1103" i="4"/>
  <c r="I1103" i="4" s="1"/>
  <c r="G131" i="4"/>
  <c r="G231" i="4"/>
  <c r="I231" i="4" s="1"/>
  <c r="G264" i="4"/>
  <c r="I264" i="4" s="1"/>
  <c r="G268" i="15"/>
  <c r="H268" i="15" s="1"/>
  <c r="G392" i="4"/>
  <c r="I392" i="4" s="1"/>
  <c r="G621" i="4"/>
  <c r="I621" i="4" s="1"/>
  <c r="G342" i="5"/>
  <c r="I342" i="5" s="1"/>
  <c r="G715" i="4"/>
  <c r="I715" i="4" s="1"/>
  <c r="F795" i="3"/>
  <c r="H795" i="3" s="1"/>
  <c r="G873" i="4"/>
  <c r="I873" i="4" s="1"/>
  <c r="F144" i="3"/>
  <c r="G1201" i="4"/>
  <c r="G22" i="4"/>
  <c r="I22" i="4" s="1"/>
  <c r="G40" i="4"/>
  <c r="I40" i="4" s="1"/>
  <c r="F160" i="3"/>
  <c r="H160" i="3" s="1"/>
  <c r="G117" i="4"/>
  <c r="I117" i="4" s="1"/>
  <c r="G157" i="4"/>
  <c r="I157" i="4" s="1"/>
  <c r="G187" i="4"/>
  <c r="I187" i="4" s="1"/>
  <c r="G188" i="15"/>
  <c r="H188" i="15" s="1"/>
  <c r="G200" i="4"/>
  <c r="G220" i="4"/>
  <c r="G224" i="15"/>
  <c r="H224" i="15" s="1"/>
  <c r="G234" i="4"/>
  <c r="G238" i="15"/>
  <c r="H238" i="15" s="1"/>
  <c r="G253" i="4"/>
  <c r="G257" i="15"/>
  <c r="H257" i="15" s="1"/>
  <c r="G287" i="4"/>
  <c r="I287" i="4" s="1"/>
  <c r="G704" i="5"/>
  <c r="G399" i="4"/>
  <c r="I399" i="4" s="1"/>
  <c r="G454" i="4"/>
  <c r="I454" i="4" s="1"/>
  <c r="G500" i="4"/>
  <c r="I500" i="4" s="1"/>
  <c r="G500" i="15"/>
  <c r="G517" i="4"/>
  <c r="G518" i="15"/>
  <c r="H518" i="15" s="1"/>
  <c r="G587" i="4"/>
  <c r="I587" i="4" s="1"/>
  <c r="G601" i="4"/>
  <c r="I601" i="4" s="1"/>
  <c r="G346" i="5"/>
  <c r="F675" i="3"/>
  <c r="G740" i="4"/>
  <c r="I740" i="4" s="1"/>
  <c r="G725" i="15"/>
  <c r="H725" i="15" s="1"/>
  <c r="F771" i="3"/>
  <c r="H771" i="3" s="1"/>
  <c r="G786" i="4"/>
  <c r="I786" i="4" s="1"/>
  <c r="G819" i="4"/>
  <c r="G800" i="15"/>
  <c r="H800" i="15" s="1"/>
  <c r="F1004" i="3"/>
  <c r="H1004" i="3" s="1"/>
  <c r="F1047" i="3"/>
  <c r="F146" i="3"/>
  <c r="H146" i="3" s="1"/>
  <c r="G921" i="4"/>
  <c r="I921" i="4" s="1"/>
  <c r="G883" i="15"/>
  <c r="H883" i="15" s="1"/>
  <c r="G1007" i="4"/>
  <c r="I1007" i="4" s="1"/>
  <c r="G955" i="15"/>
  <c r="H955" i="15" s="1"/>
  <c r="G1048" i="4"/>
  <c r="I1048" i="4" s="1"/>
  <c r="G1063" i="4"/>
  <c r="I1063" i="4" s="1"/>
  <c r="G1009" i="15"/>
  <c r="H1009" i="15" s="1"/>
  <c r="F16" i="3"/>
  <c r="G1159" i="4"/>
  <c r="I1159" i="4" s="1"/>
  <c r="G228" i="4"/>
  <c r="I228" i="4" s="1"/>
  <c r="G232" i="15"/>
  <c r="G260" i="4"/>
  <c r="I260" i="4" s="1"/>
  <c r="G315" i="4"/>
  <c r="I315" i="4" s="1"/>
  <c r="G389" i="4"/>
  <c r="I389" i="4" s="1"/>
  <c r="G504" i="4"/>
  <c r="I504" i="4" s="1"/>
  <c r="G616" i="4"/>
  <c r="I616" i="4" s="1"/>
  <c r="G604" i="15"/>
  <c r="H604" i="15" s="1"/>
  <c r="G644" i="4"/>
  <c r="I644" i="4" s="1"/>
  <c r="G258" i="5"/>
  <c r="G826" i="4"/>
  <c r="G807" i="15"/>
  <c r="H807" i="15" s="1"/>
  <c r="G1015" i="4"/>
  <c r="I1015" i="4" s="1"/>
  <c r="G963" i="15"/>
  <c r="H963" i="15" s="1"/>
  <c r="G1129" i="4"/>
  <c r="I1129" i="4" s="1"/>
  <c r="G37" i="4"/>
  <c r="I37" i="4" s="1"/>
  <c r="G93" i="4"/>
  <c r="I93" i="4" s="1"/>
  <c r="G171" i="4"/>
  <c r="I171" i="4" s="1"/>
  <c r="G194" i="4"/>
  <c r="I194" i="4" s="1"/>
  <c r="G250" i="4"/>
  <c r="G254" i="15"/>
  <c r="H254" i="15" s="1"/>
  <c r="G700" i="5"/>
  <c r="G412" i="4"/>
  <c r="I412" i="4" s="1"/>
  <c r="G567" i="4"/>
  <c r="I567" i="4" s="1"/>
  <c r="F550" i="3"/>
  <c r="H550" i="3" s="1"/>
  <c r="G647" i="4"/>
  <c r="I647" i="4" s="1"/>
  <c r="G770" i="4"/>
  <c r="I770" i="4" s="1"/>
  <c r="G861" i="4"/>
  <c r="I861" i="4" s="1"/>
  <c r="G1056" i="4"/>
  <c r="G1002" i="15"/>
  <c r="H1002" i="15" s="1"/>
  <c r="G1094" i="4"/>
  <c r="G1038" i="15"/>
  <c r="H1038" i="15" s="1"/>
  <c r="G1116" i="4"/>
  <c r="I1116" i="4" s="1"/>
  <c r="G42" i="4"/>
  <c r="I42" i="4" s="1"/>
  <c r="F162" i="3"/>
  <c r="H162" i="3" s="1"/>
  <c r="G121" i="4"/>
  <c r="I121" i="4" s="1"/>
  <c r="G164" i="4"/>
  <c r="I164" i="4" s="1"/>
  <c r="F287" i="3"/>
  <c r="H179" i="15"/>
  <c r="G225" i="4"/>
  <c r="I225" i="4" s="1"/>
  <c r="G229" i="15"/>
  <c r="H229" i="15" s="1"/>
  <c r="G237" i="4"/>
  <c r="I237" i="4" s="1"/>
  <c r="G257" i="4"/>
  <c r="I257" i="4" s="1"/>
  <c r="G708" i="5"/>
  <c r="I708" i="5" s="1"/>
  <c r="G357" i="4"/>
  <c r="I357" i="4" s="1"/>
  <c r="G381" i="4"/>
  <c r="I381" i="4" s="1"/>
  <c r="G402" i="4"/>
  <c r="I402" i="4" s="1"/>
  <c r="G435" i="4"/>
  <c r="I435" i="4" s="1"/>
  <c r="G30" i="6"/>
  <c r="G502" i="4"/>
  <c r="I502" i="4" s="1"/>
  <c r="F211" i="3"/>
  <c r="H211" i="3" s="1"/>
  <c r="G549" i="4"/>
  <c r="G544" i="15"/>
  <c r="H544" i="15" s="1"/>
  <c r="G573" i="4"/>
  <c r="I573" i="4" s="1"/>
  <c r="G591" i="4"/>
  <c r="I591" i="4" s="1"/>
  <c r="G586" i="15"/>
  <c r="H586" i="15" s="1"/>
  <c r="G604" i="4"/>
  <c r="I604" i="4" s="1"/>
  <c r="G653" i="4"/>
  <c r="I653" i="4" s="1"/>
  <c r="G667" i="4"/>
  <c r="I667" i="4" s="1"/>
  <c r="F634" i="3"/>
  <c r="H634" i="3" s="1"/>
  <c r="G695" i="4"/>
  <c r="G729" i="4"/>
  <c r="I729" i="4" s="1"/>
  <c r="G822" i="4"/>
  <c r="I822" i="4" s="1"/>
  <c r="F1036" i="3"/>
  <c r="H1036" i="3" s="1"/>
  <c r="G889" i="4"/>
  <c r="I889" i="4" s="1"/>
  <c r="F281" i="3"/>
  <c r="G890" i="15"/>
  <c r="G978" i="4"/>
  <c r="G926" i="15"/>
  <c r="H926" i="15" s="1"/>
  <c r="G1011" i="4"/>
  <c r="I1011" i="4" s="1"/>
  <c r="G959" i="15"/>
  <c r="H959" i="15" s="1"/>
  <c r="G774" i="5"/>
  <c r="I774" i="5" s="1"/>
  <c r="G966" i="5"/>
  <c r="G1084" i="4"/>
  <c r="I1084" i="4" s="1"/>
  <c r="G1148" i="4"/>
  <c r="G1092" i="15"/>
  <c r="H1092" i="15" s="1"/>
  <c r="G1059" i="4"/>
  <c r="I1059" i="4" s="1"/>
  <c r="G908" i="4"/>
  <c r="I908" i="4" s="1"/>
  <c r="G546" i="4"/>
  <c r="I546" i="4" s="1"/>
  <c r="G138" i="4"/>
  <c r="I138" i="4" s="1"/>
  <c r="G139" i="15"/>
  <c r="H139" i="15" s="1"/>
  <c r="G981" i="5"/>
  <c r="I981" i="5" s="1"/>
  <c r="G856" i="5"/>
  <c r="I856" i="5" s="1"/>
  <c r="G428" i="5"/>
  <c r="I428" i="5" s="1"/>
  <c r="G100" i="5"/>
  <c r="I100" i="5" s="1"/>
  <c r="G725" i="5"/>
  <c r="I725" i="5" s="1"/>
  <c r="G863" i="5"/>
  <c r="I863" i="5" s="1"/>
  <c r="G885" i="5"/>
  <c r="I885" i="5" s="1"/>
  <c r="G373" i="5"/>
  <c r="G988" i="5"/>
  <c r="I988" i="5" s="1"/>
  <c r="G56" i="5"/>
  <c r="I56" i="5" s="1"/>
  <c r="G74" i="5"/>
  <c r="I74" i="5" s="1"/>
  <c r="G114" i="5"/>
  <c r="I114" i="5" s="1"/>
  <c r="G15" i="6"/>
  <c r="F49" i="3"/>
  <c r="H49" i="3" s="1"/>
  <c r="F444" i="3"/>
  <c r="H444" i="3" s="1"/>
  <c r="F552" i="3"/>
  <c r="H552" i="3" s="1"/>
  <c r="F639" i="3"/>
  <c r="F616" i="14"/>
  <c r="F825" i="3"/>
  <c r="F937" i="3"/>
  <c r="H937" i="3" s="1"/>
  <c r="F204" i="3"/>
  <c r="H204" i="3" s="1"/>
  <c r="F449" i="3"/>
  <c r="H449" i="3" s="1"/>
  <c r="F555" i="3"/>
  <c r="H555" i="3" s="1"/>
  <c r="F661" i="3"/>
  <c r="H661" i="3" s="1"/>
  <c r="F863" i="3"/>
  <c r="F141" i="3"/>
  <c r="H141" i="3" s="1"/>
  <c r="F17" i="3"/>
  <c r="H17" i="3" s="1"/>
  <c r="F121" i="3"/>
  <c r="H121" i="3" s="1"/>
  <c r="F189" i="3"/>
  <c r="H189" i="3" s="1"/>
  <c r="F214" i="3"/>
  <c r="H214" i="3" s="1"/>
  <c r="F378" i="3"/>
  <c r="H378" i="3" s="1"/>
  <c r="F359" i="14"/>
  <c r="G359" i="14" s="1"/>
  <c r="F538" i="3"/>
  <c r="H538" i="3" s="1"/>
  <c r="F560" i="3"/>
  <c r="H560" i="3" s="1"/>
  <c r="F544" i="14"/>
  <c r="G544" i="14" s="1"/>
  <c r="F595" i="3"/>
  <c r="H595" i="3" s="1"/>
  <c r="F666" i="3"/>
  <c r="H666" i="3" s="1"/>
  <c r="F846" i="3"/>
  <c r="H846" i="3" s="1"/>
  <c r="F884" i="3"/>
  <c r="H884" i="3" s="1"/>
  <c r="F958" i="3"/>
  <c r="H958" i="3" s="1"/>
  <c r="F1027" i="3"/>
  <c r="H1027" i="3" s="1"/>
  <c r="F200" i="3"/>
  <c r="H200" i="3" s="1"/>
  <c r="G194" i="14"/>
  <c r="G193" i="14" s="1"/>
  <c r="G192" i="14" s="1"/>
  <c r="F582" i="3"/>
  <c r="H582" i="3" s="1"/>
  <c r="F988" i="3"/>
  <c r="H988" i="3" s="1"/>
  <c r="F518" i="3"/>
  <c r="H518" i="3" s="1"/>
  <c r="F585" i="3"/>
  <c r="H585" i="3" s="1"/>
  <c r="F841" i="3"/>
  <c r="H841" i="3" s="1"/>
  <c r="F941" i="3"/>
  <c r="H941" i="3" s="1"/>
  <c r="F904" i="14"/>
  <c r="F975" i="3"/>
  <c r="H975" i="3" s="1"/>
  <c r="F36" i="3"/>
  <c r="H36" i="3" s="1"/>
  <c r="F195" i="3"/>
  <c r="H195" i="3" s="1"/>
  <c r="F218" i="3"/>
  <c r="H218" i="3" s="1"/>
  <c r="G212" i="14"/>
  <c r="G211" i="14" s="1"/>
  <c r="G210" i="14" s="1"/>
  <c r="F441" i="3"/>
  <c r="H441" i="3" s="1"/>
  <c r="F542" i="3"/>
  <c r="F519" i="14"/>
  <c r="G519" i="14" s="1"/>
  <c r="F571" i="3"/>
  <c r="H571" i="3" s="1"/>
  <c r="F598" i="3"/>
  <c r="H598" i="3" s="1"/>
  <c r="F853" i="3"/>
  <c r="H853" i="3" s="1"/>
  <c r="F985" i="3"/>
  <c r="F943" i="14"/>
  <c r="F86" i="3"/>
  <c r="H86" i="3" s="1"/>
  <c r="C49" i="1"/>
  <c r="E49" i="1" s="1"/>
  <c r="C161" i="1"/>
  <c r="E161" i="1" s="1"/>
  <c r="C40" i="1"/>
  <c r="E40" i="1" s="1"/>
  <c r="C72" i="1"/>
  <c r="E72" i="1" s="1"/>
  <c r="C107" i="1"/>
  <c r="F452" i="3"/>
  <c r="G781" i="5"/>
  <c r="I781" i="5" s="1"/>
  <c r="C57" i="1"/>
  <c r="E57" i="1" s="1"/>
  <c r="C56" i="1"/>
  <c r="E56" i="1" s="1"/>
  <c r="C32" i="1"/>
  <c r="E32" i="1" s="1"/>
  <c r="C59" i="1"/>
  <c r="E59" i="1" s="1"/>
  <c r="C44" i="1"/>
  <c r="E44" i="1" s="1"/>
  <c r="C18" i="1"/>
  <c r="E18" i="1" s="1"/>
  <c r="G957" i="5"/>
  <c r="I957" i="5" s="1"/>
  <c r="G959" i="5"/>
  <c r="I959" i="5" s="1"/>
  <c r="G938" i="5"/>
  <c r="I938" i="5" s="1"/>
  <c r="G940" i="5"/>
  <c r="I940" i="5" s="1"/>
  <c r="G932" i="5"/>
  <c r="I932" i="5" s="1"/>
  <c r="G934" i="5"/>
  <c r="I934" i="5" s="1"/>
  <c r="G928" i="5"/>
  <c r="I928" i="5" s="1"/>
  <c r="G930" i="5"/>
  <c r="I930" i="5" s="1"/>
  <c r="G923" i="5"/>
  <c r="I923" i="5" s="1"/>
  <c r="G925" i="5"/>
  <c r="I925" i="5" s="1"/>
  <c r="G918" i="5"/>
  <c r="I918" i="5" s="1"/>
  <c r="G920" i="5"/>
  <c r="I920" i="5" s="1"/>
  <c r="G907" i="5"/>
  <c r="I907" i="5" s="1"/>
  <c r="G909" i="5"/>
  <c r="I909" i="5" s="1"/>
  <c r="G891" i="5"/>
  <c r="I891" i="5" s="1"/>
  <c r="G893" i="5"/>
  <c r="I893" i="5" s="1"/>
  <c r="G872" i="5"/>
  <c r="I872" i="5" s="1"/>
  <c r="G887" i="5"/>
  <c r="I887" i="5" s="1"/>
  <c r="G889" i="5"/>
  <c r="I889" i="5" s="1"/>
  <c r="G899" i="5"/>
  <c r="I899" i="5" s="1"/>
  <c r="G901" i="5"/>
  <c r="I901" i="5" s="1"/>
  <c r="G883" i="5"/>
  <c r="I883" i="5" s="1"/>
  <c r="G850" i="5"/>
  <c r="I850" i="5" s="1"/>
  <c r="G803" i="5"/>
  <c r="I803" i="5" s="1"/>
  <c r="G805" i="5"/>
  <c r="I805" i="5" s="1"/>
  <c r="G784" i="5"/>
  <c r="I784" i="5" s="1"/>
  <c r="G786" i="5"/>
  <c r="I786" i="5" s="1"/>
  <c r="G769" i="5"/>
  <c r="I769" i="5" s="1"/>
  <c r="G771" i="5"/>
  <c r="I771" i="5" s="1"/>
  <c r="G776" i="5"/>
  <c r="I776" i="5" s="1"/>
  <c r="G778" i="5"/>
  <c r="I778" i="5" s="1"/>
  <c r="G747" i="5"/>
  <c r="I747" i="5" s="1"/>
  <c r="G749" i="5"/>
  <c r="I749" i="5" s="1"/>
  <c r="G760" i="5"/>
  <c r="I760" i="5" s="1"/>
  <c r="G721" i="5"/>
  <c r="I721" i="5" s="1"/>
  <c r="G723" i="5"/>
  <c r="I723" i="5" s="1"/>
  <c r="G607" i="5"/>
  <c r="I607" i="5" s="1"/>
  <c r="G609" i="5"/>
  <c r="I609" i="5" s="1"/>
  <c r="G506" i="5"/>
  <c r="I506" i="5" s="1"/>
  <c r="G508" i="5"/>
  <c r="I508" i="5" s="1"/>
  <c r="G499" i="5"/>
  <c r="I499" i="5" s="1"/>
  <c r="G501" i="5"/>
  <c r="I501" i="5" s="1"/>
  <c r="G491" i="5"/>
  <c r="I491" i="5" s="1"/>
  <c r="G493" i="5"/>
  <c r="I493" i="5" s="1"/>
  <c r="G495" i="5"/>
  <c r="I495" i="5" s="1"/>
  <c r="G497" i="5"/>
  <c r="I497" i="5" s="1"/>
  <c r="G476" i="5"/>
  <c r="I476" i="5" s="1"/>
  <c r="G478" i="5"/>
  <c r="I478" i="5" s="1"/>
  <c r="G467" i="5"/>
  <c r="I467" i="5" s="1"/>
  <c r="G469" i="5"/>
  <c r="I469" i="5" s="1"/>
  <c r="G363" i="5"/>
  <c r="I363" i="5" s="1"/>
  <c r="G365" i="5"/>
  <c r="I365" i="5" s="1"/>
  <c r="G330" i="5"/>
  <c r="I330" i="5" s="1"/>
  <c r="G332" i="5"/>
  <c r="I332" i="5" s="1"/>
  <c r="G299" i="5"/>
  <c r="I299" i="5" s="1"/>
  <c r="G301" i="5"/>
  <c r="I301" i="5" s="1"/>
  <c r="G284" i="5"/>
  <c r="I284" i="5" s="1"/>
  <c r="G286" i="5"/>
  <c r="I286" i="5" s="1"/>
  <c r="G277" i="5"/>
  <c r="I277" i="5" s="1"/>
  <c r="G279" i="5"/>
  <c r="I279" i="5" s="1"/>
  <c r="G54" i="5"/>
  <c r="I54" i="5" s="1"/>
  <c r="G871" i="4"/>
  <c r="I871" i="4" s="1"/>
  <c r="F1038" i="3"/>
  <c r="H1038" i="3" s="1"/>
  <c r="G511" i="5"/>
  <c r="I511" i="5" s="1"/>
  <c r="F997" i="3"/>
  <c r="H997" i="3" s="1"/>
  <c r="G867" i="4"/>
  <c r="I867" i="4" s="1"/>
  <c r="F1034" i="3"/>
  <c r="H1034" i="3" s="1"/>
  <c r="G859" i="4"/>
  <c r="I859" i="4" s="1"/>
  <c r="F1026" i="3"/>
  <c r="H1026" i="3" s="1"/>
  <c r="G945" i="5"/>
  <c r="I945" i="5" s="1"/>
  <c r="F1020" i="3"/>
  <c r="H1020" i="3" s="1"/>
  <c r="G547" i="5"/>
  <c r="I547" i="5" s="1"/>
  <c r="F1049" i="3"/>
  <c r="H1049" i="3" s="1"/>
  <c r="F932" i="3"/>
  <c r="H932" i="3" s="1"/>
  <c r="F955" i="3"/>
  <c r="H955" i="3" s="1"/>
  <c r="F894" i="3"/>
  <c r="H894" i="3" s="1"/>
  <c r="F918" i="3"/>
  <c r="H918" i="3" s="1"/>
  <c r="G109" i="5"/>
  <c r="I109" i="5" s="1"/>
  <c r="F904" i="3"/>
  <c r="H904" i="3" s="1"/>
  <c r="G34" i="6"/>
  <c r="F928" i="3"/>
  <c r="H928" i="3" s="1"/>
  <c r="F957" i="3"/>
  <c r="H957" i="3" s="1"/>
  <c r="G311" i="4"/>
  <c r="I311" i="4" s="1"/>
  <c r="F734" i="3"/>
  <c r="H734" i="3" s="1"/>
  <c r="F717" i="3"/>
  <c r="H717" i="3" s="1"/>
  <c r="G305" i="4"/>
  <c r="I305" i="4" s="1"/>
  <c r="F728" i="3"/>
  <c r="H728" i="3" s="1"/>
  <c r="G308" i="4"/>
  <c r="I308" i="4" s="1"/>
  <c r="F731" i="3"/>
  <c r="H731" i="3" s="1"/>
  <c r="F756" i="3"/>
  <c r="H756" i="3" s="1"/>
  <c r="F804" i="3"/>
  <c r="H804" i="3" s="1"/>
  <c r="G757" i="4"/>
  <c r="I757" i="4" s="1"/>
  <c r="F768" i="3"/>
  <c r="H768" i="3" s="1"/>
  <c r="G782" i="4"/>
  <c r="I782" i="4" s="1"/>
  <c r="F793" i="3"/>
  <c r="H793" i="3" s="1"/>
  <c r="G577" i="4"/>
  <c r="I577" i="4" s="1"/>
  <c r="F529" i="3"/>
  <c r="H529" i="3" s="1"/>
  <c r="G289" i="5"/>
  <c r="I289" i="5" s="1"/>
  <c r="F547" i="3"/>
  <c r="H547" i="3" s="1"/>
  <c r="G323" i="5"/>
  <c r="I323" i="5" s="1"/>
  <c r="F614" i="3"/>
  <c r="H614" i="3" s="1"/>
  <c r="F627" i="3"/>
  <c r="H627" i="3" s="1"/>
  <c r="G736" i="4"/>
  <c r="I736" i="4" s="1"/>
  <c r="F688" i="3"/>
  <c r="H688" i="3" s="1"/>
  <c r="G270" i="5"/>
  <c r="I270" i="5" s="1"/>
  <c r="F534" i="3"/>
  <c r="H534" i="3" s="1"/>
  <c r="G651" i="4"/>
  <c r="I651" i="4" s="1"/>
  <c r="F603" i="3"/>
  <c r="H603" i="3" s="1"/>
  <c r="F617" i="3"/>
  <c r="H617" i="3" s="1"/>
  <c r="G678" i="4"/>
  <c r="I678" i="4" s="1"/>
  <c r="F630" i="3"/>
  <c r="H630" i="3" s="1"/>
  <c r="G368" i="5"/>
  <c r="I368" i="5" s="1"/>
  <c r="F644" i="3"/>
  <c r="H644" i="3" s="1"/>
  <c r="G776" i="4"/>
  <c r="I776" i="4" s="1"/>
  <c r="F787" i="3"/>
  <c r="H787" i="3" s="1"/>
  <c r="G1082" i="4"/>
  <c r="F475" i="3"/>
  <c r="H475" i="3" s="1"/>
  <c r="G657" i="4"/>
  <c r="I657" i="4" s="1"/>
  <c r="F609" i="3"/>
  <c r="H609" i="3" s="1"/>
  <c r="G335" i="5"/>
  <c r="I335" i="5" s="1"/>
  <c r="F623" i="3"/>
  <c r="H623" i="3" s="1"/>
  <c r="G685" i="4"/>
  <c r="I685" i="4" s="1"/>
  <c r="F637" i="3"/>
  <c r="H637" i="3" s="1"/>
  <c r="G733" i="4"/>
  <c r="I733" i="4" s="1"/>
  <c r="F685" i="3"/>
  <c r="H685" i="3" s="1"/>
  <c r="G768" i="4"/>
  <c r="I768" i="4" s="1"/>
  <c r="F779" i="3"/>
  <c r="H779" i="3" s="1"/>
  <c r="G1092" i="4"/>
  <c r="F485" i="3"/>
  <c r="H485" i="3" s="1"/>
  <c r="G571" i="4"/>
  <c r="I571" i="4" s="1"/>
  <c r="F523" i="3"/>
  <c r="H523" i="3" s="1"/>
  <c r="G398" i="5"/>
  <c r="I398" i="5" s="1"/>
  <c r="F697" i="3"/>
  <c r="H697" i="3" s="1"/>
  <c r="G766" i="4"/>
  <c r="F777" i="3"/>
  <c r="H777" i="3" s="1"/>
  <c r="G780" i="4"/>
  <c r="I780" i="4" s="1"/>
  <c r="F791" i="3"/>
  <c r="H791" i="3" s="1"/>
  <c r="G1101" i="4"/>
  <c r="I1101" i="4" s="1"/>
  <c r="F494" i="3"/>
  <c r="H494" i="3" s="1"/>
  <c r="F257" i="3"/>
  <c r="G257" i="3"/>
  <c r="H808" i="5" s="1"/>
  <c r="G155" i="4"/>
  <c r="I155" i="4" s="1"/>
  <c r="F244" i="3"/>
  <c r="H244" i="3" s="1"/>
  <c r="G515" i="4"/>
  <c r="I515" i="4" s="1"/>
  <c r="F150" i="3"/>
  <c r="H150" i="3" s="1"/>
  <c r="F385" i="3"/>
  <c r="H385" i="3" s="1"/>
  <c r="F431" i="3"/>
  <c r="H431" i="3" s="1"/>
  <c r="F434" i="3"/>
  <c r="F245" i="3"/>
  <c r="H245" i="3" s="1"/>
  <c r="F238" i="3"/>
  <c r="H238" i="3" s="1"/>
  <c r="G945" i="4"/>
  <c r="I945" i="4" s="1"/>
  <c r="F338" i="3"/>
  <c r="H338" i="3" s="1"/>
  <c r="G530" i="4"/>
  <c r="I530" i="4" s="1"/>
  <c r="F341" i="3"/>
  <c r="H341" i="3" s="1"/>
  <c r="G951" i="4"/>
  <c r="I951" i="4" s="1"/>
  <c r="F344" i="3"/>
  <c r="H344" i="3" s="1"/>
  <c r="F389" i="3"/>
  <c r="H389" i="3" s="1"/>
  <c r="F241" i="3"/>
  <c r="H241" i="3" s="1"/>
  <c r="F242" i="3"/>
  <c r="H242" i="3" s="1"/>
  <c r="G180" i="4"/>
  <c r="I180" i="4" s="1"/>
  <c r="F289" i="3"/>
  <c r="H289" i="3" s="1"/>
  <c r="F267" i="3"/>
  <c r="H267" i="3" s="1"/>
  <c r="F397" i="3"/>
  <c r="H397" i="3" s="1"/>
  <c r="F171" i="3"/>
  <c r="H171" i="3" s="1"/>
  <c r="G55" i="4"/>
  <c r="I55" i="4" s="1"/>
  <c r="F70" i="3"/>
  <c r="H70" i="3" s="1"/>
  <c r="G57" i="4"/>
  <c r="I57" i="4" s="1"/>
  <c r="F72" i="3"/>
  <c r="H72" i="3" s="1"/>
  <c r="G65" i="4"/>
  <c r="I65" i="4" s="1"/>
  <c r="F80" i="3"/>
  <c r="H80" i="3" s="1"/>
  <c r="G60" i="4"/>
  <c r="I60" i="4" s="1"/>
  <c r="F75" i="3"/>
  <c r="H75" i="3" s="1"/>
  <c r="G62" i="4"/>
  <c r="I62" i="4" s="1"/>
  <c r="F77" i="3"/>
  <c r="H77" i="3" s="1"/>
  <c r="G1155" i="4"/>
  <c r="I1155" i="4" s="1"/>
  <c r="F109" i="3"/>
  <c r="H109" i="3" s="1"/>
  <c r="G67" i="4"/>
  <c r="I67" i="4" s="1"/>
  <c r="F82" i="3"/>
  <c r="H82" i="3" s="1"/>
  <c r="G209" i="4"/>
  <c r="I209" i="4" s="1"/>
  <c r="F680" i="3"/>
  <c r="H680" i="3" s="1"/>
  <c r="F55" i="3"/>
  <c r="H55" i="3" s="1"/>
  <c r="F360" i="3"/>
  <c r="H360" i="3" s="1"/>
  <c r="G893" i="4"/>
  <c r="I893" i="4" s="1"/>
  <c r="G1004" i="4"/>
  <c r="I1004" i="4" s="1"/>
  <c r="G1044" i="4"/>
  <c r="I1044" i="4" s="1"/>
  <c r="G284" i="4"/>
  <c r="I284" i="4" s="1"/>
  <c r="G442" i="4"/>
  <c r="I442" i="4" s="1"/>
  <c r="G745" i="4"/>
  <c r="I745" i="4" s="1"/>
  <c r="G760" i="4"/>
  <c r="I760" i="4" s="1"/>
  <c r="F243" i="3"/>
  <c r="H243" i="3" s="1"/>
  <c r="G595" i="4"/>
  <c r="I595" i="4" s="1"/>
  <c r="F973" i="3"/>
  <c r="H973" i="3" s="1"/>
  <c r="G153" i="4"/>
  <c r="I153" i="4" s="1"/>
  <c r="G178" i="4"/>
  <c r="I178" i="4" s="1"/>
  <c r="G460" i="4"/>
  <c r="I460" i="4" s="1"/>
  <c r="G662" i="4"/>
  <c r="I662" i="4" s="1"/>
  <c r="G897" i="4"/>
  <c r="I897" i="4" s="1"/>
  <c r="G916" i="4"/>
  <c r="I916" i="4" s="1"/>
  <c r="G418" i="4"/>
  <c r="I418" i="4" s="1"/>
  <c r="G280" i="4"/>
  <c r="I280" i="4" s="1"/>
  <c r="G996" i="4"/>
  <c r="I996" i="4" s="1"/>
  <c r="F465" i="3"/>
  <c r="H465" i="3" s="1"/>
  <c r="F1040" i="3"/>
  <c r="H1040" i="3" s="1"/>
  <c r="G207" i="4"/>
  <c r="I207" i="4" s="1"/>
  <c r="G218" i="4"/>
  <c r="I218" i="4" s="1"/>
  <c r="G294" i="4"/>
  <c r="I294" i="4" s="1"/>
  <c r="G376" i="4"/>
  <c r="G464" i="4"/>
  <c r="I464" i="4" s="1"/>
  <c r="G784" i="4"/>
  <c r="I784" i="4" s="1"/>
  <c r="G830" i="4"/>
  <c r="I830" i="4" s="1"/>
  <c r="G895" i="4"/>
  <c r="I895" i="4" s="1"/>
  <c r="G1125" i="4"/>
  <c r="F436" i="3"/>
  <c r="H436" i="3" s="1"/>
  <c r="F837" i="3"/>
  <c r="H837" i="3" s="1"/>
  <c r="F995" i="3"/>
  <c r="H995" i="3" s="1"/>
  <c r="F448" i="3"/>
  <c r="H448" i="3" s="1"/>
  <c r="F470" i="3"/>
  <c r="H470" i="3" s="1"/>
  <c r="F486" i="3"/>
  <c r="F983" i="3"/>
  <c r="H983" i="3" s="1"/>
  <c r="G149" i="4"/>
  <c r="I149" i="4" s="1"/>
  <c r="G429" i="4"/>
  <c r="I429" i="4" s="1"/>
  <c r="G433" i="4"/>
  <c r="I433" i="4" s="1"/>
  <c r="G671" i="4"/>
  <c r="I671" i="4" s="1"/>
  <c r="G692" i="4"/>
  <c r="I692" i="4" s="1"/>
  <c r="G807" i="4"/>
  <c r="I807" i="4" s="1"/>
  <c r="G817" i="4"/>
  <c r="I817" i="4" s="1"/>
  <c r="G973" i="4"/>
  <c r="I973" i="4" s="1"/>
  <c r="G1035" i="4"/>
  <c r="I1035" i="4" s="1"/>
  <c r="G51" i="5"/>
  <c r="I51" i="5" s="1"/>
  <c r="G332" i="4"/>
  <c r="G274" i="5"/>
  <c r="I274" i="5" s="1"/>
  <c r="G585" i="4"/>
  <c r="I585" i="4" s="1"/>
  <c r="F525" i="3"/>
  <c r="H525" i="3" s="1"/>
  <c r="G293" i="5"/>
  <c r="I293" i="5" s="1"/>
  <c r="F536" i="3"/>
  <c r="H536" i="3" s="1"/>
  <c r="F979" i="3"/>
  <c r="H979" i="3" s="1"/>
  <c r="G960" i="4"/>
  <c r="G974" i="5"/>
  <c r="I974" i="5" s="1"/>
  <c r="G523" i="4"/>
  <c r="I523" i="4" s="1"/>
  <c r="G723" i="4"/>
  <c r="I723" i="4" s="1"/>
  <c r="F674" i="3"/>
  <c r="H674" i="3" s="1"/>
  <c r="G869" i="4"/>
  <c r="I869" i="4" s="1"/>
  <c r="G948" i="4"/>
  <c r="I948" i="4" s="1"/>
  <c r="F46" i="3"/>
  <c r="H46" i="3" s="1"/>
  <c r="F52" i="3"/>
  <c r="H52" i="3" s="1"/>
  <c r="F618" i="3"/>
  <c r="H618" i="3" s="1"/>
  <c r="G15" i="4"/>
  <c r="I15" i="4" s="1"/>
  <c r="G559" i="5"/>
  <c r="I559" i="5" s="1"/>
  <c r="G346" i="4"/>
  <c r="I346" i="4" s="1"/>
  <c r="G67" i="5"/>
  <c r="I67" i="5" s="1"/>
  <c r="G450" i="4"/>
  <c r="I450" i="4" s="1"/>
  <c r="G170" i="5"/>
  <c r="I170" i="5" s="1"/>
  <c r="G558" i="4"/>
  <c r="I558" i="4" s="1"/>
  <c r="G598" i="4"/>
  <c r="I598" i="4" s="1"/>
  <c r="G29" i="5"/>
  <c r="I29" i="5" s="1"/>
  <c r="G108" i="4"/>
  <c r="I108" i="4" s="1"/>
  <c r="G665" i="4"/>
  <c r="I665" i="4" s="1"/>
  <c r="G327" i="5"/>
  <c r="I327" i="5" s="1"/>
  <c r="G682" i="4"/>
  <c r="I682" i="4" s="1"/>
  <c r="F605" i="3"/>
  <c r="H605" i="3" s="1"/>
  <c r="G354" i="4"/>
  <c r="I354" i="4" s="1"/>
  <c r="G675" i="4"/>
  <c r="I675" i="4" s="1"/>
  <c r="G837" i="4"/>
  <c r="I837" i="4" s="1"/>
  <c r="G992" i="4"/>
  <c r="I992" i="4" s="1"/>
  <c r="G1144" i="4"/>
  <c r="I1144" i="4" s="1"/>
  <c r="F35" i="3"/>
  <c r="H35" i="3" s="1"/>
  <c r="G967" i="4"/>
  <c r="I967" i="4" s="1"/>
  <c r="G981" i="4"/>
  <c r="F428" i="3"/>
  <c r="H428" i="3" s="1"/>
  <c r="G110" i="4"/>
  <c r="I110" i="4" s="1"/>
  <c r="G330" i="4"/>
  <c r="I330" i="4" s="1"/>
  <c r="G562" i="5"/>
  <c r="I562" i="5" s="1"/>
  <c r="G348" i="4"/>
  <c r="I348" i="4" s="1"/>
  <c r="F817" i="3"/>
  <c r="H817" i="3" s="1"/>
  <c r="G323" i="4"/>
  <c r="I323" i="4" s="1"/>
  <c r="G605" i="5"/>
  <c r="I605" i="5" s="1"/>
  <c r="G374" i="4"/>
  <c r="I374" i="4" s="1"/>
  <c r="F835" i="3"/>
  <c r="H835" i="3" s="1"/>
  <c r="G33" i="4"/>
  <c r="I33" i="4" s="1"/>
  <c r="F48" i="3"/>
  <c r="H48" i="3" s="1"/>
  <c r="G448" i="5"/>
  <c r="I448" i="5" s="1"/>
  <c r="G146" i="4"/>
  <c r="I146" i="4" s="1"/>
  <c r="F234" i="3"/>
  <c r="H234" i="3" s="1"/>
  <c r="G282" i="4"/>
  <c r="I282" i="4" s="1"/>
  <c r="G556" i="5"/>
  <c r="I556" i="5" s="1"/>
  <c r="G344" i="4"/>
  <c r="I344" i="4" s="1"/>
  <c r="F813" i="3"/>
  <c r="H813" i="3" s="1"/>
  <c r="G352" i="4"/>
  <c r="G533" i="4"/>
  <c r="I533" i="4" s="1"/>
  <c r="G611" i="5"/>
  <c r="I611" i="5" s="1"/>
  <c r="G378" i="4"/>
  <c r="F580" i="3"/>
  <c r="H580" i="3" s="1"/>
  <c r="G406" i="5"/>
  <c r="I406" i="5" s="1"/>
  <c r="G544" i="5"/>
  <c r="I544" i="5" s="1"/>
  <c r="G880" i="4"/>
  <c r="I880" i="4" s="1"/>
  <c r="G582" i="4"/>
  <c r="I582" i="4" s="1"/>
  <c r="G629" i="4"/>
  <c r="I629" i="4" s="1"/>
  <c r="G689" i="4"/>
  <c r="I689" i="4" s="1"/>
  <c r="G26" i="5"/>
  <c r="I26" i="5" s="1"/>
  <c r="G928" i="4"/>
  <c r="I928" i="4" s="1"/>
  <c r="G1000" i="4"/>
  <c r="G1038" i="4"/>
  <c r="I1038" i="4" s="1"/>
  <c r="G752" i="5"/>
  <c r="I752" i="5" s="1"/>
  <c r="G853" i="4"/>
  <c r="I853" i="4" s="1"/>
  <c r="G882" i="4"/>
  <c r="I882" i="4" s="1"/>
  <c r="G930" i="4"/>
  <c r="G1040" i="4"/>
  <c r="G1052" i="4"/>
  <c r="I1052" i="4" s="1"/>
  <c r="G1072" i="4"/>
  <c r="I1072" i="4" s="1"/>
  <c r="F897" i="3"/>
  <c r="H897" i="3" s="1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168" i="4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8" i="2"/>
  <c r="F879" i="3"/>
  <c r="H879" i="3" s="1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G329" i="4" l="1"/>
  <c r="I329" i="4" s="1"/>
  <c r="I332" i="4"/>
  <c r="G765" i="4"/>
  <c r="I765" i="4" s="1"/>
  <c r="I766" i="4"/>
  <c r="G199" i="15"/>
  <c r="G198" i="15" s="1"/>
  <c r="G197" i="15" s="1"/>
  <c r="I200" i="4"/>
  <c r="G947" i="15"/>
  <c r="H947" i="15" s="1"/>
  <c r="I1000" i="4"/>
  <c r="H807" i="5"/>
  <c r="H809" i="5"/>
  <c r="G1091" i="15"/>
  <c r="H1091" i="15" s="1"/>
  <c r="I1148" i="4"/>
  <c r="G360" i="4"/>
  <c r="I360" i="4" s="1"/>
  <c r="I364" i="4"/>
  <c r="H355" i="15"/>
  <c r="H353" i="15" s="1"/>
  <c r="I352" i="4"/>
  <c r="G928" i="15"/>
  <c r="H928" i="15" s="1"/>
  <c r="I981" i="4"/>
  <c r="G1124" i="4"/>
  <c r="I1124" i="4" s="1"/>
  <c r="I1125" i="4"/>
  <c r="G1089" i="4"/>
  <c r="I1089" i="4" s="1"/>
  <c r="I1092" i="4"/>
  <c r="G1077" i="4"/>
  <c r="I1077" i="4" s="1"/>
  <c r="I1082" i="4"/>
  <c r="G33" i="6"/>
  <c r="I34" i="6"/>
  <c r="G14" i="6"/>
  <c r="I15" i="6"/>
  <c r="G699" i="5"/>
  <c r="I699" i="5" s="1"/>
  <c r="I700" i="5"/>
  <c r="G259" i="5"/>
  <c r="I259" i="5" s="1"/>
  <c r="I258" i="5"/>
  <c r="G557" i="15"/>
  <c r="G889" i="15"/>
  <c r="H889" i="15" s="1"/>
  <c r="H885" i="15" s="1"/>
  <c r="I930" i="4"/>
  <c r="G925" i="15"/>
  <c r="H925" i="15" s="1"/>
  <c r="I978" i="4"/>
  <c r="G543" i="15"/>
  <c r="H543" i="15" s="1"/>
  <c r="I549" i="4"/>
  <c r="G705" i="5"/>
  <c r="I705" i="5" s="1"/>
  <c r="I704" i="5"/>
  <c r="G959" i="4"/>
  <c r="I959" i="4" s="1"/>
  <c r="I960" i="4"/>
  <c r="G1037" i="15"/>
  <c r="H1037" i="15" s="1"/>
  <c r="I1094" i="4"/>
  <c r="G237" i="15"/>
  <c r="I234" i="4"/>
  <c r="G125" i="4"/>
  <c r="I125" i="4" s="1"/>
  <c r="I126" i="4"/>
  <c r="D18" i="13"/>
  <c r="F18" i="2"/>
  <c r="G985" i="15"/>
  <c r="H985" i="15" s="1"/>
  <c r="I1040" i="4"/>
  <c r="H378" i="15"/>
  <c r="I378" i="4"/>
  <c r="H376" i="15"/>
  <c r="I376" i="4"/>
  <c r="G372" i="5"/>
  <c r="I372" i="5" s="1"/>
  <c r="I373" i="5"/>
  <c r="G965" i="5"/>
  <c r="I965" i="5" s="1"/>
  <c r="I966" i="5"/>
  <c r="G694" i="4"/>
  <c r="I694" i="4" s="1"/>
  <c r="I695" i="4"/>
  <c r="G29" i="6"/>
  <c r="I30" i="6"/>
  <c r="G1001" i="15"/>
  <c r="H1001" i="15" s="1"/>
  <c r="I1056" i="4"/>
  <c r="G347" i="5"/>
  <c r="I347" i="5" s="1"/>
  <c r="I346" i="5"/>
  <c r="G129" i="4"/>
  <c r="I129" i="4" s="1"/>
  <c r="I131" i="4"/>
  <c r="G683" i="5"/>
  <c r="I683" i="5" s="1"/>
  <c r="I682" i="5"/>
  <c r="G736" i="5"/>
  <c r="I736" i="5" s="1"/>
  <c r="I737" i="5"/>
  <c r="G39" i="6"/>
  <c r="I40" i="6"/>
  <c r="G253" i="15"/>
  <c r="I250" i="4"/>
  <c r="G256" i="15"/>
  <c r="H256" i="15" s="1"/>
  <c r="I253" i="4"/>
  <c r="G223" i="15"/>
  <c r="H223" i="15" s="1"/>
  <c r="I220" i="4"/>
  <c r="G806" i="15"/>
  <c r="I826" i="4"/>
  <c r="G799" i="15"/>
  <c r="H799" i="15" s="1"/>
  <c r="I819" i="4"/>
  <c r="G517" i="15"/>
  <c r="H517" i="15" s="1"/>
  <c r="I517" i="4"/>
  <c r="F412" i="14"/>
  <c r="H434" i="3"/>
  <c r="F518" i="14"/>
  <c r="G518" i="14" s="1"/>
  <c r="H542" i="3"/>
  <c r="F615" i="14"/>
  <c r="H639" i="3"/>
  <c r="F272" i="14"/>
  <c r="G272" i="14" s="1"/>
  <c r="H281" i="3"/>
  <c r="F1046" i="3"/>
  <c r="H1046" i="3" s="1"/>
  <c r="H1047" i="3"/>
  <c r="G193" i="5"/>
  <c r="I193" i="5" s="1"/>
  <c r="H675" i="3"/>
  <c r="F373" i="14"/>
  <c r="G373" i="14" s="1"/>
  <c r="H393" i="3"/>
  <c r="F856" i="3"/>
  <c r="H856" i="3" s="1"/>
  <c r="H863" i="3"/>
  <c r="F286" i="3"/>
  <c r="H286" i="3" s="1"/>
  <c r="H287" i="3"/>
  <c r="F462" i="14"/>
  <c r="G462" i="14" s="1"/>
  <c r="H486" i="3"/>
  <c r="F821" i="3"/>
  <c r="H821" i="3" s="1"/>
  <c r="H825" i="3"/>
  <c r="G256" i="3"/>
  <c r="H257" i="3"/>
  <c r="F427" i="14"/>
  <c r="G427" i="14" s="1"/>
  <c r="H452" i="3"/>
  <c r="F942" i="14"/>
  <c r="H985" i="3"/>
  <c r="F15" i="3"/>
  <c r="H15" i="3" s="1"/>
  <c r="H16" i="3"/>
  <c r="F143" i="3"/>
  <c r="H143" i="3" s="1"/>
  <c r="H144" i="3"/>
  <c r="C94" i="1"/>
  <c r="E94" i="1" s="1"/>
  <c r="E107" i="1"/>
  <c r="C126" i="1"/>
  <c r="E126" i="1" s="1"/>
  <c r="E127" i="1"/>
  <c r="F564" i="14"/>
  <c r="G963" i="10"/>
  <c r="G121" i="10"/>
  <c r="G97" i="10" s="1"/>
  <c r="G56" i="10" s="1"/>
  <c r="G395" i="4"/>
  <c r="I395" i="4" s="1"/>
  <c r="F490" i="14"/>
  <c r="G377" i="14"/>
  <c r="G376" i="14" s="1"/>
  <c r="G375" i="14" s="1"/>
  <c r="C113" i="12"/>
  <c r="C112" i="12" s="1"/>
  <c r="C111" i="12" s="1"/>
  <c r="H793" i="16"/>
  <c r="H792" i="16" s="1"/>
  <c r="H791" i="16" s="1"/>
  <c r="H790" i="16" s="1"/>
  <c r="H789" i="16" s="1"/>
  <c r="H788" i="16" s="1"/>
  <c r="G369" i="14"/>
  <c r="G368" i="14" s="1"/>
  <c r="G367" i="14" s="1"/>
  <c r="G848" i="10"/>
  <c r="G1003" i="10" s="1"/>
  <c r="G195" i="10"/>
  <c r="G926" i="10"/>
  <c r="G925" i="10" s="1"/>
  <c r="G390" i="10"/>
  <c r="G994" i="10" s="1"/>
  <c r="G655" i="10"/>
  <c r="G645" i="10" s="1"/>
  <c r="G1000" i="10"/>
  <c r="G373" i="10"/>
  <c r="G358" i="10" s="1"/>
  <c r="G30" i="10"/>
  <c r="G29" i="10" s="1"/>
  <c r="G733" i="10"/>
  <c r="G725" i="10" s="1"/>
  <c r="G704" i="10" s="1"/>
  <c r="G989" i="10" s="1"/>
  <c r="G338" i="10"/>
  <c r="G337" i="10" s="1"/>
  <c r="G826" i="10"/>
  <c r="G800" i="10" s="1"/>
  <c r="G1006" i="10"/>
  <c r="G612" i="10"/>
  <c r="G279" i="10"/>
  <c r="G1001" i="10" s="1"/>
  <c r="G777" i="10"/>
  <c r="G770" i="10" s="1"/>
  <c r="G984" i="10" s="1"/>
  <c r="G900" i="10"/>
  <c r="G899" i="10" s="1"/>
  <c r="G675" i="10"/>
  <c r="G674" i="10" s="1"/>
  <c r="G925" i="4"/>
  <c r="I925" i="4" s="1"/>
  <c r="H232" i="15"/>
  <c r="G231" i="15"/>
  <c r="H231" i="15" s="1"/>
  <c r="D120" i="12"/>
  <c r="G546" i="10"/>
  <c r="G459" i="10"/>
  <c r="G995" i="10"/>
  <c r="G507" i="10"/>
  <c r="G389" i="10"/>
  <c r="G388" i="10" s="1"/>
  <c r="G249" i="4"/>
  <c r="I249" i="4" s="1"/>
  <c r="G388" i="4"/>
  <c r="I388" i="4" s="1"/>
  <c r="G130" i="4"/>
  <c r="I130" i="4" s="1"/>
  <c r="G779" i="4"/>
  <c r="G417" i="4"/>
  <c r="G30" i="4"/>
  <c r="I30" i="4" s="1"/>
  <c r="H178" i="15"/>
  <c r="G278" i="14"/>
  <c r="G277" i="14" s="1"/>
  <c r="G497" i="4"/>
  <c r="I497" i="4" s="1"/>
  <c r="F233" i="14"/>
  <c r="G585" i="15"/>
  <c r="H585" i="15" s="1"/>
  <c r="G428" i="4"/>
  <c r="I428" i="4" s="1"/>
  <c r="G152" i="4"/>
  <c r="I152" i="4" s="1"/>
  <c r="G89" i="4"/>
  <c r="I89" i="4" s="1"/>
  <c r="H374" i="15"/>
  <c r="H373" i="15" s="1"/>
  <c r="G373" i="4"/>
  <c r="I373" i="4" s="1"/>
  <c r="G892" i="4"/>
  <c r="G206" i="4"/>
  <c r="I206" i="4" s="1"/>
  <c r="G279" i="4"/>
  <c r="I279" i="4" s="1"/>
  <c r="G866" i="4"/>
  <c r="F204" i="14"/>
  <c r="F203" i="14" s="1"/>
  <c r="F202" i="14" s="1"/>
  <c r="G523" i="15"/>
  <c r="G522" i="15" s="1"/>
  <c r="H109" i="15"/>
  <c r="F153" i="14"/>
  <c r="F152" i="14" s="1"/>
  <c r="G108" i="15"/>
  <c r="H1098" i="15"/>
  <c r="H1097" i="15" s="1"/>
  <c r="G102" i="14"/>
  <c r="G101" i="14" s="1"/>
  <c r="G100" i="14" s="1"/>
  <c r="G99" i="14" s="1"/>
  <c r="G231" i="14"/>
  <c r="G230" i="14" s="1"/>
  <c r="G229" i="14" s="1"/>
  <c r="H149" i="15"/>
  <c r="H148" i="15" s="1"/>
  <c r="H144" i="15" s="1"/>
  <c r="G969" i="14"/>
  <c r="G968" i="14" s="1"/>
  <c r="G967" i="14" s="1"/>
  <c r="H825" i="15"/>
  <c r="H824" i="15" s="1"/>
  <c r="H1069" i="15"/>
  <c r="F14" i="14"/>
  <c r="F13" i="14" s="1"/>
  <c r="F12" i="14" s="1"/>
  <c r="G1068" i="15"/>
  <c r="G1067" i="15" s="1"/>
  <c r="H258" i="16"/>
  <c r="H259" i="16" s="1"/>
  <c r="G654" i="14"/>
  <c r="G653" i="14" s="1"/>
  <c r="G652" i="14" s="1"/>
  <c r="H720" i="15"/>
  <c r="H719" i="15" s="1"/>
  <c r="H715" i="16"/>
  <c r="H716" i="16" s="1"/>
  <c r="G409" i="14"/>
  <c r="G408" i="14" s="1"/>
  <c r="G407" i="14" s="1"/>
  <c r="H983" i="15"/>
  <c r="H982" i="15" s="1"/>
  <c r="H62" i="15"/>
  <c r="G70" i="14"/>
  <c r="G69" i="14" s="1"/>
  <c r="H60" i="15"/>
  <c r="G68" i="14"/>
  <c r="G67" i="14" s="1"/>
  <c r="H65" i="15"/>
  <c r="G73" i="14"/>
  <c r="G72" i="14" s="1"/>
  <c r="H1087" i="15"/>
  <c r="H1086" i="15" s="1"/>
  <c r="G33" i="14"/>
  <c r="G32" i="14" s="1"/>
  <c r="G31" i="14" s="1"/>
  <c r="G981" i="14"/>
  <c r="G980" i="14" s="1"/>
  <c r="H837" i="15"/>
  <c r="G749" i="15"/>
  <c r="G997" i="15"/>
  <c r="G996" i="15" s="1"/>
  <c r="F423" i="14"/>
  <c r="F422" i="14" s="1"/>
  <c r="F421" i="14" s="1"/>
  <c r="F417" i="14" s="1"/>
  <c r="F416" i="14" s="1"/>
  <c r="H503" i="15"/>
  <c r="H502" i="15" s="1"/>
  <c r="G502" i="15"/>
  <c r="G497" i="15" s="1"/>
  <c r="H43" i="15"/>
  <c r="F50" i="14"/>
  <c r="F49" i="14" s="1"/>
  <c r="G42" i="15"/>
  <c r="G35" i="15" s="1"/>
  <c r="H864" i="15"/>
  <c r="F139" i="14"/>
  <c r="F138" i="14" s="1"/>
  <c r="G863" i="15"/>
  <c r="F958" i="14"/>
  <c r="F957" i="14" s="1"/>
  <c r="F956" i="14" s="1"/>
  <c r="G814" i="15"/>
  <c r="G813" i="15" s="1"/>
  <c r="F641" i="14"/>
  <c r="F640" i="14" s="1"/>
  <c r="F639" i="14" s="1"/>
  <c r="G707" i="15"/>
  <c r="G706" i="15" s="1"/>
  <c r="H46" i="15"/>
  <c r="F53" i="14"/>
  <c r="F52" i="14" s="1"/>
  <c r="F51" i="14" s="1"/>
  <c r="H862" i="15"/>
  <c r="F137" i="14"/>
  <c r="F136" i="14" s="1"/>
  <c r="G861" i="15"/>
  <c r="F469" i="14"/>
  <c r="F466" i="14"/>
  <c r="G977" i="14"/>
  <c r="G976" i="14" s="1"/>
  <c r="H833" i="15"/>
  <c r="G745" i="14"/>
  <c r="G744" i="14" s="1"/>
  <c r="H752" i="15"/>
  <c r="G753" i="14"/>
  <c r="G752" i="14" s="1"/>
  <c r="G751" i="14" s="1"/>
  <c r="H760" i="15"/>
  <c r="H759" i="15" s="1"/>
  <c r="G152" i="15"/>
  <c r="G151" i="15" s="1"/>
  <c r="H153" i="15"/>
  <c r="F741" i="14"/>
  <c r="F443" i="14"/>
  <c r="F442" i="14" s="1"/>
  <c r="F441" i="14" s="1"/>
  <c r="G1017" i="15"/>
  <c r="G1016" i="15" s="1"/>
  <c r="F610" i="14"/>
  <c r="F609" i="14" s="1"/>
  <c r="F608" i="14" s="1"/>
  <c r="G676" i="15"/>
  <c r="G675" i="15" s="1"/>
  <c r="F891" i="14"/>
  <c r="F890" i="14" s="1"/>
  <c r="F889" i="14" s="1"/>
  <c r="G460" i="15"/>
  <c r="G459" i="15" s="1"/>
  <c r="H111" i="15"/>
  <c r="F155" i="14"/>
  <c r="F154" i="14" s="1"/>
  <c r="G110" i="15"/>
  <c r="F990" i="14"/>
  <c r="F989" i="14" s="1"/>
  <c r="F988" i="14" s="1"/>
  <c r="G846" i="15"/>
  <c r="G845" i="15" s="1"/>
  <c r="F603" i="14"/>
  <c r="F602" i="14" s="1"/>
  <c r="F601" i="14" s="1"/>
  <c r="G669" i="15"/>
  <c r="G668" i="15" s="1"/>
  <c r="H771" i="16"/>
  <c r="H770" i="16" s="1"/>
  <c r="H769" i="16" s="1"/>
  <c r="H764" i="16" s="1"/>
  <c r="H763" i="16" s="1"/>
  <c r="H762" i="16" s="1"/>
  <c r="H761" i="16" s="1"/>
  <c r="G250" i="14"/>
  <c r="G249" i="14" s="1"/>
  <c r="G248" i="14" s="1"/>
  <c r="H168" i="15"/>
  <c r="H167" i="15" s="1"/>
  <c r="H443" i="15"/>
  <c r="F867" i="14"/>
  <c r="F866" i="14" s="1"/>
  <c r="F865" i="14" s="1"/>
  <c r="G442" i="15"/>
  <c r="G441" i="15" s="1"/>
  <c r="H1035" i="15"/>
  <c r="H1034" i="15" s="1"/>
  <c r="G461" i="14"/>
  <c r="G460" i="14" s="1"/>
  <c r="G459" i="14" s="1"/>
  <c r="H1027" i="15"/>
  <c r="H1022" i="15" s="1"/>
  <c r="G453" i="14"/>
  <c r="G452" i="14" s="1"/>
  <c r="G447" i="14" s="1"/>
  <c r="H764" i="15"/>
  <c r="H769" i="15"/>
  <c r="G761" i="14" s="1"/>
  <c r="G760" i="14" s="1"/>
  <c r="G755" i="14" s="1"/>
  <c r="F761" i="14"/>
  <c r="F760" i="14" s="1"/>
  <c r="F755" i="14" s="1"/>
  <c r="G768" i="15"/>
  <c r="G763" i="15" s="1"/>
  <c r="H514" i="16"/>
  <c r="H513" i="16" s="1"/>
  <c r="G992" i="14"/>
  <c r="G991" i="14" s="1"/>
  <c r="H848" i="15"/>
  <c r="H496" i="16"/>
  <c r="H497" i="16" s="1"/>
  <c r="G954" i="14"/>
  <c r="G953" i="14" s="1"/>
  <c r="G952" i="14" s="1"/>
  <c r="G948" i="14" s="1"/>
  <c r="H810" i="15"/>
  <c r="H809" i="15" s="1"/>
  <c r="H364" i="16"/>
  <c r="H363" i="16" s="1"/>
  <c r="H362" i="16" s="1"/>
  <c r="G620" i="14"/>
  <c r="G619" i="14" s="1"/>
  <c r="G618" i="14" s="1"/>
  <c r="G614" i="14" s="1"/>
  <c r="H686" i="15"/>
  <c r="H685" i="15" s="1"/>
  <c r="H45" i="16"/>
  <c r="H46" i="16" s="1"/>
  <c r="G722" i="14"/>
  <c r="G721" i="14" s="1"/>
  <c r="G720" i="14" s="1"/>
  <c r="H333" i="15"/>
  <c r="H332" i="15" s="1"/>
  <c r="H331" i="16"/>
  <c r="H332" i="16" s="1"/>
  <c r="G599" i="14"/>
  <c r="G598" i="14" s="1"/>
  <c r="G597" i="14" s="1"/>
  <c r="G587" i="14" s="1"/>
  <c r="H665" i="15"/>
  <c r="H664" i="15" s="1"/>
  <c r="H766" i="15"/>
  <c r="H836" i="15"/>
  <c r="F979" i="14"/>
  <c r="F978" i="14" s="1"/>
  <c r="F975" i="14" s="1"/>
  <c r="G835" i="15"/>
  <c r="G832" i="15" s="1"/>
  <c r="F526" i="14"/>
  <c r="F525" i="14" s="1"/>
  <c r="F524" i="14" s="1"/>
  <c r="G592" i="15"/>
  <c r="G591" i="15" s="1"/>
  <c r="F694" i="14"/>
  <c r="F693" i="14" s="1"/>
  <c r="F692" i="14" s="1"/>
  <c r="G308" i="15"/>
  <c r="G307" i="15" s="1"/>
  <c r="G734" i="14"/>
  <c r="G733" i="14" s="1"/>
  <c r="G732" i="14" s="1"/>
  <c r="H741" i="15"/>
  <c r="H740" i="15" s="1"/>
  <c r="H379" i="16"/>
  <c r="H378" i="16" s="1"/>
  <c r="H377" i="16" s="1"/>
  <c r="H376" i="16" s="1"/>
  <c r="H375" i="16" s="1"/>
  <c r="G663" i="14"/>
  <c r="G662" i="14" s="1"/>
  <c r="G661" i="14" s="1"/>
  <c r="H729" i="15"/>
  <c r="H728" i="15" s="1"/>
  <c r="H285" i="16"/>
  <c r="H284" i="16" s="1"/>
  <c r="H283" i="16" s="1"/>
  <c r="G523" i="14"/>
  <c r="G522" i="14" s="1"/>
  <c r="G521" i="14" s="1"/>
  <c r="H589" i="15"/>
  <c r="H588" i="15" s="1"/>
  <c r="H154" i="16"/>
  <c r="H155" i="16" s="1"/>
  <c r="G164" i="14"/>
  <c r="G163" i="14" s="1"/>
  <c r="G162" i="14" s="1"/>
  <c r="H221" i="15"/>
  <c r="H220" i="15" s="1"/>
  <c r="H908" i="16"/>
  <c r="H907" i="16" s="1"/>
  <c r="H906" i="16" s="1"/>
  <c r="H905" i="16" s="1"/>
  <c r="H904" i="16" s="1"/>
  <c r="H877" i="16" s="1"/>
  <c r="H865" i="16" s="1"/>
  <c r="G963" i="14"/>
  <c r="G962" i="14" s="1"/>
  <c r="G961" i="14" s="1"/>
  <c r="H819" i="15"/>
  <c r="H818" i="15" s="1"/>
  <c r="H212" i="15"/>
  <c r="H209" i="15" s="1"/>
  <c r="G918" i="14"/>
  <c r="G917" i="14" s="1"/>
  <c r="G914" i="14" s="1"/>
  <c r="H67" i="15"/>
  <c r="G75" i="14"/>
  <c r="G74" i="14" s="1"/>
  <c r="H680" i="15"/>
  <c r="F613" i="14"/>
  <c r="F612" i="14" s="1"/>
  <c r="F611" i="14" s="1"/>
  <c r="G679" i="15"/>
  <c r="G678" i="15" s="1"/>
  <c r="H1044" i="15"/>
  <c r="H1041" i="15" s="1"/>
  <c r="G470" i="14"/>
  <c r="G330" i="14"/>
  <c r="G329" i="14" s="1"/>
  <c r="G328" i="14" s="1"/>
  <c r="H533" i="15"/>
  <c r="H532" i="15" s="1"/>
  <c r="H877" i="15"/>
  <c r="H876" i="15" s="1"/>
  <c r="G260" i="14"/>
  <c r="G259" i="14" s="1"/>
  <c r="G258" i="14" s="1"/>
  <c r="G327" i="14"/>
  <c r="G326" i="14" s="1"/>
  <c r="G325" i="14" s="1"/>
  <c r="H901" i="15"/>
  <c r="H900" i="15" s="1"/>
  <c r="H750" i="15"/>
  <c r="G743" i="14"/>
  <c r="G742" i="14" s="1"/>
  <c r="G237" i="14"/>
  <c r="G236" i="14" s="1"/>
  <c r="G233" i="14" s="1"/>
  <c r="H155" i="15"/>
  <c r="H515" i="15"/>
  <c r="H514" i="15" s="1"/>
  <c r="G143" i="14"/>
  <c r="G142" i="14" s="1"/>
  <c r="G141" i="14" s="1"/>
  <c r="H241" i="16"/>
  <c r="H242" i="16" s="1"/>
  <c r="G585" i="14"/>
  <c r="G584" i="14" s="1"/>
  <c r="G583" i="14" s="1"/>
  <c r="H651" i="15"/>
  <c r="H650" i="15" s="1"/>
  <c r="H233" i="16"/>
  <c r="H232" i="16" s="1"/>
  <c r="H231" i="16" s="1"/>
  <c r="G579" i="14"/>
  <c r="G578" i="14" s="1"/>
  <c r="G577" i="14" s="1"/>
  <c r="H645" i="15"/>
  <c r="H644" i="15" s="1"/>
  <c r="G717" i="15"/>
  <c r="G716" i="15" s="1"/>
  <c r="G709" i="15" s="1"/>
  <c r="F651" i="14"/>
  <c r="F650" i="14" s="1"/>
  <c r="F649" i="14" s="1"/>
  <c r="F642" i="14" s="1"/>
  <c r="H212" i="16"/>
  <c r="H211" i="16" s="1"/>
  <c r="H210" i="16" s="1"/>
  <c r="G505" i="14"/>
  <c r="G504" i="14" s="1"/>
  <c r="G503" i="14" s="1"/>
  <c r="H571" i="15"/>
  <c r="H570" i="15" s="1"/>
  <c r="H204" i="16"/>
  <c r="H203" i="16" s="1"/>
  <c r="H202" i="16" s="1"/>
  <c r="G499" i="14"/>
  <c r="G498" i="14" s="1"/>
  <c r="G497" i="14" s="1"/>
  <c r="H565" i="15"/>
  <c r="H564" i="15" s="1"/>
  <c r="F700" i="14"/>
  <c r="F699" i="14" s="1"/>
  <c r="F698" i="14" s="1"/>
  <c r="G314" i="15"/>
  <c r="G313" i="15" s="1"/>
  <c r="F697" i="14"/>
  <c r="F696" i="14" s="1"/>
  <c r="F695" i="14" s="1"/>
  <c r="G311" i="15"/>
  <c r="G310" i="15" s="1"/>
  <c r="H55" i="15"/>
  <c r="H54" i="15" s="1"/>
  <c r="G63" i="14"/>
  <c r="G62" i="14" s="1"/>
  <c r="G61" i="14" s="1"/>
  <c r="H387" i="16"/>
  <c r="H386" i="16" s="1"/>
  <c r="H385" i="16" s="1"/>
  <c r="G228" i="15"/>
  <c r="H228" i="15" s="1"/>
  <c r="G224" i="4"/>
  <c r="G353" i="16"/>
  <c r="G352" i="16" s="1"/>
  <c r="G351" i="16" s="1"/>
  <c r="G124" i="4"/>
  <c r="G64" i="15"/>
  <c r="G54" i="15"/>
  <c r="H501" i="15"/>
  <c r="F46" i="14"/>
  <c r="F45" i="14" s="1"/>
  <c r="G59" i="15"/>
  <c r="F109" i="14"/>
  <c r="G619" i="4"/>
  <c r="I619" i="4" s="1"/>
  <c r="G453" i="4"/>
  <c r="I453" i="4" s="1"/>
  <c r="H181" i="15"/>
  <c r="G314" i="4"/>
  <c r="I314" i="4" s="1"/>
  <c r="G198" i="4"/>
  <c r="G620" i="4"/>
  <c r="I620" i="4" s="1"/>
  <c r="G681" i="5"/>
  <c r="F161" i="3"/>
  <c r="H161" i="3" s="1"/>
  <c r="F392" i="3"/>
  <c r="G353" i="5"/>
  <c r="F549" i="3"/>
  <c r="G79" i="14"/>
  <c r="G600" i="4"/>
  <c r="I600" i="4" s="1"/>
  <c r="G343" i="4"/>
  <c r="I343" i="4" s="1"/>
  <c r="G257" i="5"/>
  <c r="F145" i="3"/>
  <c r="H145" i="3" s="1"/>
  <c r="F79" i="14"/>
  <c r="G104" i="16"/>
  <c r="G103" i="16" s="1"/>
  <c r="G102" i="16" s="1"/>
  <c r="G101" i="16" s="1"/>
  <c r="G106" i="16"/>
  <c r="G748" i="4"/>
  <c r="I748" i="4" s="1"/>
  <c r="G452" i="4"/>
  <c r="I452" i="4" s="1"/>
  <c r="G545" i="4"/>
  <c r="F633" i="3"/>
  <c r="H322" i="16"/>
  <c r="H321" i="16" s="1"/>
  <c r="H267" i="16"/>
  <c r="G837" i="5"/>
  <c r="H199" i="15"/>
  <c r="H198" i="15" s="1"/>
  <c r="H197" i="15" s="1"/>
  <c r="G714" i="16"/>
  <c r="G716" i="16"/>
  <c r="G213" i="16"/>
  <c r="G211" i="16"/>
  <c r="G210" i="16" s="1"/>
  <c r="G46" i="16"/>
  <c r="G44" i="16"/>
  <c r="G43" i="16" s="1"/>
  <c r="G42" i="16" s="1"/>
  <c r="G41" i="16" s="1"/>
  <c r="G40" i="16" s="1"/>
  <c r="G28" i="16" s="1"/>
  <c r="G317" i="15"/>
  <c r="G316" i="15"/>
  <c r="G614" i="15"/>
  <c r="G613" i="15"/>
  <c r="G244" i="15"/>
  <c r="G243" i="15"/>
  <c r="G386" i="16"/>
  <c r="G385" i="16" s="1"/>
  <c r="G388" i="16"/>
  <c r="G495" i="16"/>
  <c r="G494" i="16" s="1"/>
  <c r="G489" i="16" s="1"/>
  <c r="G488" i="16" s="1"/>
  <c r="G487" i="16" s="1"/>
  <c r="G497" i="16"/>
  <c r="G365" i="16"/>
  <c r="G363" i="16"/>
  <c r="G362" i="16" s="1"/>
  <c r="G330" i="16"/>
  <c r="G329" i="16" s="1"/>
  <c r="G332" i="16"/>
  <c r="H1018" i="15"/>
  <c r="G929" i="16"/>
  <c r="H890" i="15"/>
  <c r="H25" i="16" s="1"/>
  <c r="H24" i="16" s="1"/>
  <c r="H20" i="16" s="1"/>
  <c r="H19" i="16" s="1"/>
  <c r="H18" i="16" s="1"/>
  <c r="H17" i="16" s="1"/>
  <c r="H9" i="16" s="1"/>
  <c r="G25" i="16"/>
  <c r="H677" i="15"/>
  <c r="G349" i="16"/>
  <c r="G937" i="16"/>
  <c r="H461" i="15"/>
  <c r="G26" i="17"/>
  <c r="G25" i="17" s="1"/>
  <c r="G24" i="17" s="1"/>
  <c r="G23" i="17" s="1"/>
  <c r="G22" i="17" s="1"/>
  <c r="G21" i="17" s="1"/>
  <c r="G39" i="17" s="1"/>
  <c r="G79" i="16"/>
  <c r="H593" i="15"/>
  <c r="G289" i="16"/>
  <c r="H718" i="15"/>
  <c r="G254" i="16"/>
  <c r="H815" i="15"/>
  <c r="G503" i="16"/>
  <c r="H342" i="16"/>
  <c r="G342" i="16"/>
  <c r="H312" i="15"/>
  <c r="G667" i="16"/>
  <c r="H670" i="15"/>
  <c r="G338" i="16"/>
  <c r="G732" i="15"/>
  <c r="G731" i="15"/>
  <c r="H539" i="15"/>
  <c r="H538" i="15" s="1"/>
  <c r="H537" i="15" s="1"/>
  <c r="H536" i="15" s="1"/>
  <c r="G539" i="15"/>
  <c r="G538" i="15" s="1"/>
  <c r="G537" i="15" s="1"/>
  <c r="G536" i="15" s="1"/>
  <c r="H388" i="15"/>
  <c r="G388" i="15"/>
  <c r="G453" i="15"/>
  <c r="G452" i="15"/>
  <c r="H720" i="16"/>
  <c r="G513" i="16"/>
  <c r="G515" i="16"/>
  <c r="G257" i="16"/>
  <c r="G256" i="16" s="1"/>
  <c r="G259" i="16"/>
  <c r="G203" i="16"/>
  <c r="G202" i="16" s="1"/>
  <c r="G193" i="16" s="1"/>
  <c r="G205" i="16"/>
  <c r="G232" i="16"/>
  <c r="G231" i="16" s="1"/>
  <c r="G234" i="16"/>
  <c r="G378" i="16"/>
  <c r="G377" i="16" s="1"/>
  <c r="G376" i="16" s="1"/>
  <c r="G375" i="16" s="1"/>
  <c r="G380" i="16"/>
  <c r="G284" i="16"/>
  <c r="G283" i="16" s="1"/>
  <c r="G286" i="16"/>
  <c r="G62" i="16"/>
  <c r="G61" i="16" s="1"/>
  <c r="G60" i="16" s="1"/>
  <c r="G59" i="16" s="1"/>
  <c r="G58" i="16" s="1"/>
  <c r="G57" i="16" s="1"/>
  <c r="G64" i="16"/>
  <c r="G155" i="16"/>
  <c r="G153" i="16"/>
  <c r="G152" i="16" s="1"/>
  <c r="G151" i="16" s="1"/>
  <c r="G150" i="16" s="1"/>
  <c r="G149" i="16" s="1"/>
  <c r="G148" i="16" s="1"/>
  <c r="G909" i="16"/>
  <c r="G907" i="16"/>
  <c r="G906" i="16" s="1"/>
  <c r="G905" i="16" s="1"/>
  <c r="G904" i="16" s="1"/>
  <c r="G877" i="16" s="1"/>
  <c r="G865" i="16" s="1"/>
  <c r="G240" i="16"/>
  <c r="G239" i="16" s="1"/>
  <c r="G242" i="16"/>
  <c r="G885" i="15"/>
  <c r="G517" i="5"/>
  <c r="I517" i="5" s="1"/>
  <c r="F794" i="3"/>
  <c r="H794" i="3" s="1"/>
  <c r="H998" i="15"/>
  <c r="G737" i="16"/>
  <c r="H315" i="15"/>
  <c r="G671" i="16"/>
  <c r="H309" i="15"/>
  <c r="G663" i="16"/>
  <c r="H847" i="15"/>
  <c r="G511" i="16"/>
  <c r="H745" i="15"/>
  <c r="G391" i="16"/>
  <c r="H64" i="16"/>
  <c r="H62" i="16"/>
  <c r="H61" i="16" s="1"/>
  <c r="H60" i="16" s="1"/>
  <c r="H59" i="16" s="1"/>
  <c r="H58" i="16" s="1"/>
  <c r="H57" i="16" s="1"/>
  <c r="H298" i="15"/>
  <c r="H645" i="16" s="1"/>
  <c r="H644" i="16" s="1"/>
  <c r="H640" i="16" s="1"/>
  <c r="G645" i="16"/>
  <c r="H237" i="15"/>
  <c r="H259" i="15"/>
  <c r="G259" i="15"/>
  <c r="G256" i="4"/>
  <c r="I256" i="4" s="1"/>
  <c r="G265" i="16"/>
  <c r="G264" i="16" s="1"/>
  <c r="G263" i="16" s="1"/>
  <c r="G262" i="16" s="1"/>
  <c r="G261" i="16" s="1"/>
  <c r="G267" i="16"/>
  <c r="H318" i="16"/>
  <c r="H317" i="16" s="1"/>
  <c r="G320" i="16"/>
  <c r="G318" i="16"/>
  <c r="G317" i="16" s="1"/>
  <c r="G324" i="16"/>
  <c r="G322" i="16"/>
  <c r="G321" i="16" s="1"/>
  <c r="H806" i="15"/>
  <c r="H948" i="15"/>
  <c r="H800" i="16" s="1"/>
  <c r="H799" i="16" s="1"/>
  <c r="H798" i="16" s="1"/>
  <c r="H797" i="16" s="1"/>
  <c r="H796" i="16" s="1"/>
  <c r="H795" i="16" s="1"/>
  <c r="G800" i="16"/>
  <c r="H808" i="16"/>
  <c r="G794" i="16"/>
  <c r="G792" i="16"/>
  <c r="G791" i="16" s="1"/>
  <c r="G790" i="16" s="1"/>
  <c r="G789" i="16" s="1"/>
  <c r="G788" i="16" s="1"/>
  <c r="H920" i="15"/>
  <c r="H919" i="15" s="1"/>
  <c r="G806" i="16"/>
  <c r="G805" i="16" s="1"/>
  <c r="G804" i="16" s="1"/>
  <c r="G803" i="16" s="1"/>
  <c r="G802" i="16" s="1"/>
  <c r="G808" i="16"/>
  <c r="G722" i="16"/>
  <c r="G720" i="16"/>
  <c r="G547" i="14"/>
  <c r="G546" i="14" s="1"/>
  <c r="F547" i="14"/>
  <c r="F546" i="14" s="1"/>
  <c r="G804" i="14"/>
  <c r="F804" i="14"/>
  <c r="G808" i="14"/>
  <c r="F808" i="14"/>
  <c r="F903" i="14"/>
  <c r="G527" i="14"/>
  <c r="F527" i="14"/>
  <c r="G169" i="14"/>
  <c r="G168" i="14" s="1"/>
  <c r="F169" i="14"/>
  <c r="F168" i="14" s="1"/>
  <c r="H708" i="15"/>
  <c r="G189" i="16"/>
  <c r="G770" i="16"/>
  <c r="G769" i="16" s="1"/>
  <c r="G764" i="16" s="1"/>
  <c r="G763" i="16" s="1"/>
  <c r="G762" i="16" s="1"/>
  <c r="G761" i="16" s="1"/>
  <c r="G772" i="16"/>
  <c r="F210" i="3"/>
  <c r="G701" i="5"/>
  <c r="I701" i="5" s="1"/>
  <c r="G871" i="5"/>
  <c r="I871" i="5" s="1"/>
  <c r="F280" i="3"/>
  <c r="H280" i="3" s="1"/>
  <c r="G773" i="5"/>
  <c r="F159" i="3"/>
  <c r="H159" i="3" s="1"/>
  <c r="G747" i="4"/>
  <c r="I747" i="4" s="1"/>
  <c r="G343" i="5"/>
  <c r="I343" i="5" s="1"/>
  <c r="G240" i="4"/>
  <c r="I240" i="4" s="1"/>
  <c r="G241" i="4"/>
  <c r="I241" i="4" s="1"/>
  <c r="G313" i="4"/>
  <c r="I313" i="4" s="1"/>
  <c r="G199" i="4"/>
  <c r="I199" i="4" s="1"/>
  <c r="G775" i="5"/>
  <c r="I775" i="5" s="1"/>
  <c r="G341" i="5"/>
  <c r="G410" i="5"/>
  <c r="I410" i="5" s="1"/>
  <c r="F116" i="3"/>
  <c r="H116" i="3" s="1"/>
  <c r="F770" i="3"/>
  <c r="H770" i="3" s="1"/>
  <c r="G709" i="5"/>
  <c r="I709" i="5" s="1"/>
  <c r="G707" i="5"/>
  <c r="G703" i="5"/>
  <c r="G113" i="5"/>
  <c r="I113" i="5" s="1"/>
  <c r="G55" i="5"/>
  <c r="I55" i="5" s="1"/>
  <c r="G1051" i="4"/>
  <c r="I1051" i="4" s="1"/>
  <c r="G581" i="4"/>
  <c r="G576" i="15"/>
  <c r="H576" i="15" s="1"/>
  <c r="G688" i="4"/>
  <c r="G683" i="15"/>
  <c r="H683" i="15" s="1"/>
  <c r="G1215" i="4"/>
  <c r="G145" i="4"/>
  <c r="I145" i="4" s="1"/>
  <c r="G674" i="4"/>
  <c r="I674" i="4" s="1"/>
  <c r="G557" i="4"/>
  <c r="H909" i="15"/>
  <c r="H910" i="15"/>
  <c r="G670" i="4"/>
  <c r="I670" i="4" s="1"/>
  <c r="G217" i="4"/>
  <c r="I217" i="4" s="1"/>
  <c r="G995" i="4"/>
  <c r="I995" i="4" s="1"/>
  <c r="H943" i="15"/>
  <c r="G441" i="4"/>
  <c r="I441" i="4" s="1"/>
  <c r="G950" i="4"/>
  <c r="I950" i="4" s="1"/>
  <c r="G942" i="4"/>
  <c r="I942" i="4" s="1"/>
  <c r="G898" i="15"/>
  <c r="H898" i="15" s="1"/>
  <c r="G514" i="4"/>
  <c r="I514" i="4" s="1"/>
  <c r="H1144" i="15"/>
  <c r="G1144" i="15"/>
  <c r="G1071" i="4"/>
  <c r="I1071" i="4" s="1"/>
  <c r="G628" i="4"/>
  <c r="G322" i="4"/>
  <c r="I322" i="4" s="1"/>
  <c r="G1143" i="4"/>
  <c r="I1143" i="4" s="1"/>
  <c r="G681" i="4"/>
  <c r="I681" i="4" s="1"/>
  <c r="G722" i="4"/>
  <c r="I722" i="4" s="1"/>
  <c r="G584" i="4"/>
  <c r="G579" i="15"/>
  <c r="H579" i="15" s="1"/>
  <c r="G816" i="4"/>
  <c r="I816" i="4" s="1"/>
  <c r="G797" i="15"/>
  <c r="H797" i="15" s="1"/>
  <c r="G661" i="4"/>
  <c r="G656" i="15"/>
  <c r="H656" i="15" s="1"/>
  <c r="F551" i="3"/>
  <c r="H551" i="3" s="1"/>
  <c r="G732" i="4"/>
  <c r="I732" i="4" s="1"/>
  <c r="G576" i="4"/>
  <c r="I576" i="4" s="1"/>
  <c r="G307" i="4"/>
  <c r="I307" i="4" s="1"/>
  <c r="G858" i="4"/>
  <c r="G1010" i="4"/>
  <c r="I1010" i="4" s="1"/>
  <c r="G958" i="15"/>
  <c r="G356" i="4"/>
  <c r="I356" i="4" s="1"/>
  <c r="G1115" i="4"/>
  <c r="I1115" i="4" s="1"/>
  <c r="G411" i="4"/>
  <c r="I411" i="4" s="1"/>
  <c r="G170" i="4"/>
  <c r="I170" i="4" s="1"/>
  <c r="G1014" i="4"/>
  <c r="I1014" i="4" s="1"/>
  <c r="G962" i="15"/>
  <c r="G615" i="4"/>
  <c r="I615" i="4" s="1"/>
  <c r="G603" i="15"/>
  <c r="G1062" i="4"/>
  <c r="I1062" i="4" s="1"/>
  <c r="G1008" i="15"/>
  <c r="G1006" i="4"/>
  <c r="I1006" i="4" s="1"/>
  <c r="G954" i="15"/>
  <c r="G739" i="4"/>
  <c r="I739" i="4" s="1"/>
  <c r="G724" i="15"/>
  <c r="G183" i="4"/>
  <c r="I183" i="4" s="1"/>
  <c r="G187" i="15"/>
  <c r="G116" i="4"/>
  <c r="I116" i="4" s="1"/>
  <c r="G39" i="4"/>
  <c r="G714" i="4"/>
  <c r="I714" i="4" s="1"/>
  <c r="G263" i="4"/>
  <c r="I263" i="4" s="1"/>
  <c r="G267" i="15"/>
  <c r="G709" i="4"/>
  <c r="I709" i="4" s="1"/>
  <c r="G469" i="4"/>
  <c r="I469" i="4" s="1"/>
  <c r="G405" i="4"/>
  <c r="I405" i="4" s="1"/>
  <c r="G852" i="4"/>
  <c r="I852" i="4" s="1"/>
  <c r="G991" i="4"/>
  <c r="I991" i="4" s="1"/>
  <c r="G449" i="4"/>
  <c r="I449" i="4" s="1"/>
  <c r="G14" i="4"/>
  <c r="I14" i="4" s="1"/>
  <c r="G947" i="4"/>
  <c r="I947" i="4" s="1"/>
  <c r="G522" i="4"/>
  <c r="I522" i="4" s="1"/>
  <c r="G806" i="4"/>
  <c r="G459" i="4"/>
  <c r="I459" i="4" s="1"/>
  <c r="G594" i="4"/>
  <c r="I594" i="4" s="1"/>
  <c r="G744" i="4"/>
  <c r="I744" i="4" s="1"/>
  <c r="G1043" i="4"/>
  <c r="I1043" i="4" s="1"/>
  <c r="G1154" i="4"/>
  <c r="I1154" i="4" s="1"/>
  <c r="G529" i="4"/>
  <c r="I529" i="4" s="1"/>
  <c r="G650" i="4"/>
  <c r="I650" i="4" s="1"/>
  <c r="G310" i="4"/>
  <c r="I310" i="4" s="1"/>
  <c r="G532" i="4"/>
  <c r="I532" i="4" s="1"/>
  <c r="G836" i="4"/>
  <c r="G664" i="4"/>
  <c r="G659" i="15"/>
  <c r="H659" i="15" s="1"/>
  <c r="G597" i="4"/>
  <c r="I597" i="4" s="1"/>
  <c r="G1034" i="4"/>
  <c r="I1034" i="4" s="1"/>
  <c r="G691" i="4"/>
  <c r="I691" i="4" s="1"/>
  <c r="G148" i="4"/>
  <c r="I148" i="4" s="1"/>
  <c r="G829" i="4"/>
  <c r="I829" i="4" s="1"/>
  <c r="G291" i="4"/>
  <c r="I291" i="4" s="1"/>
  <c r="G297" i="15"/>
  <c r="H297" i="15" s="1"/>
  <c r="G915" i="4"/>
  <c r="I915" i="4" s="1"/>
  <c r="G1003" i="4"/>
  <c r="I1003" i="4" s="1"/>
  <c r="G1098" i="4"/>
  <c r="G570" i="4"/>
  <c r="I570" i="4" s="1"/>
  <c r="G684" i="4"/>
  <c r="I684" i="4" s="1"/>
  <c r="G656" i="4"/>
  <c r="I656" i="4" s="1"/>
  <c r="G775" i="4"/>
  <c r="I775" i="4" s="1"/>
  <c r="G677" i="4"/>
  <c r="I677" i="4" s="1"/>
  <c r="G304" i="4"/>
  <c r="I304" i="4" s="1"/>
  <c r="G380" i="4"/>
  <c r="I380" i="4" s="1"/>
  <c r="G120" i="4"/>
  <c r="G193" i="4"/>
  <c r="I193" i="4" s="1"/>
  <c r="G920" i="4"/>
  <c r="I920" i="4" s="1"/>
  <c r="G882" i="15"/>
  <c r="G286" i="4"/>
  <c r="I286" i="4" s="1"/>
  <c r="G194" i="5"/>
  <c r="I194" i="5" s="1"/>
  <c r="F176" i="3"/>
  <c r="G756" i="4"/>
  <c r="I756" i="4" s="1"/>
  <c r="G724" i="5"/>
  <c r="I724" i="5" s="1"/>
  <c r="G907" i="4"/>
  <c r="I907" i="4" s="1"/>
  <c r="G759" i="4"/>
  <c r="I759" i="4" s="1"/>
  <c r="G463" i="4"/>
  <c r="G66" i="5"/>
  <c r="I66" i="5" s="1"/>
  <c r="G973" i="5"/>
  <c r="I973" i="5" s="1"/>
  <c r="G283" i="5"/>
  <c r="I283" i="5" s="1"/>
  <c r="G720" i="5"/>
  <c r="I720" i="5" s="1"/>
  <c r="G746" i="5"/>
  <c r="I746" i="5" s="1"/>
  <c r="G849" i="5"/>
  <c r="I849" i="5" s="1"/>
  <c r="G931" i="5"/>
  <c r="I931" i="5" s="1"/>
  <c r="G917" i="5"/>
  <c r="I917" i="5" s="1"/>
  <c r="G927" i="5"/>
  <c r="I927" i="5" s="1"/>
  <c r="G937" i="5"/>
  <c r="I937" i="5" s="1"/>
  <c r="G950" i="5"/>
  <c r="I950" i="5" s="1"/>
  <c r="G362" i="5"/>
  <c r="I362" i="5" s="1"/>
  <c r="G475" i="5"/>
  <c r="I475" i="5" s="1"/>
  <c r="G490" i="5"/>
  <c r="I490" i="5" s="1"/>
  <c r="G505" i="5"/>
  <c r="I505" i="5" s="1"/>
  <c r="G698" i="5"/>
  <c r="I698" i="5" s="1"/>
  <c r="G906" i="5"/>
  <c r="I906" i="5" s="1"/>
  <c r="G922" i="5"/>
  <c r="I922" i="5" s="1"/>
  <c r="G956" i="5"/>
  <c r="I956" i="5" s="1"/>
  <c r="G802" i="5"/>
  <c r="I802" i="5" s="1"/>
  <c r="G882" i="5"/>
  <c r="I882" i="5" s="1"/>
  <c r="G898" i="5"/>
  <c r="I898" i="5" s="1"/>
  <c r="G987" i="5"/>
  <c r="I987" i="5" s="1"/>
  <c r="G862" i="5"/>
  <c r="I862" i="5" s="1"/>
  <c r="G99" i="5"/>
  <c r="I99" i="5" s="1"/>
  <c r="G427" i="5"/>
  <c r="I427" i="5" s="1"/>
  <c r="G980" i="5"/>
  <c r="I980" i="5" s="1"/>
  <c r="G169" i="5"/>
  <c r="I169" i="5" s="1"/>
  <c r="G108" i="5"/>
  <c r="I108" i="5" s="1"/>
  <c r="G298" i="5"/>
  <c r="I298" i="5" s="1"/>
  <c r="G329" i="5"/>
  <c r="I329" i="5" s="1"/>
  <c r="G466" i="5"/>
  <c r="I466" i="5" s="1"/>
  <c r="G494" i="5"/>
  <c r="I494" i="5" s="1"/>
  <c r="G498" i="5"/>
  <c r="I498" i="5" s="1"/>
  <c r="F845" i="3"/>
  <c r="H845" i="3" s="1"/>
  <c r="G276" i="5"/>
  <c r="I276" i="5" s="1"/>
  <c r="G768" i="5"/>
  <c r="I768" i="5" s="1"/>
  <c r="G783" i="5"/>
  <c r="I783" i="5" s="1"/>
  <c r="G886" i="5"/>
  <c r="I886" i="5" s="1"/>
  <c r="G890" i="5"/>
  <c r="I890" i="5" s="1"/>
  <c r="G73" i="5"/>
  <c r="I73" i="5" s="1"/>
  <c r="G964" i="5"/>
  <c r="I964" i="5" s="1"/>
  <c r="G855" i="5"/>
  <c r="I855" i="5" s="1"/>
  <c r="G137" i="4"/>
  <c r="I137" i="4" s="1"/>
  <c r="G138" i="15"/>
  <c r="F233" i="3"/>
  <c r="H233" i="3" s="1"/>
  <c r="F535" i="3"/>
  <c r="F512" i="14"/>
  <c r="G512" i="14" s="1"/>
  <c r="F993" i="3"/>
  <c r="F74" i="3"/>
  <c r="H74" i="3" s="1"/>
  <c r="F533" i="3"/>
  <c r="H533" i="3" s="1"/>
  <c r="F510" i="14"/>
  <c r="G510" i="14" s="1"/>
  <c r="F956" i="3"/>
  <c r="H956" i="3" s="1"/>
  <c r="F447" i="3"/>
  <c r="H447" i="3" s="1"/>
  <c r="F696" i="3"/>
  <c r="H696" i="3" s="1"/>
  <c r="F684" i="3"/>
  <c r="H684" i="3" s="1"/>
  <c r="F643" i="3"/>
  <c r="H643" i="3" s="1"/>
  <c r="F730" i="3"/>
  <c r="H730" i="3" s="1"/>
  <c r="F1048" i="3"/>
  <c r="H1048" i="3" s="1"/>
  <c r="F199" i="3"/>
  <c r="H199" i="3" s="1"/>
  <c r="F660" i="3"/>
  <c r="H660" i="3" s="1"/>
  <c r="F936" i="3"/>
  <c r="H936" i="3" s="1"/>
  <c r="F443" i="3"/>
  <c r="H443" i="3" s="1"/>
  <c r="F878" i="3"/>
  <c r="H878" i="3" s="1"/>
  <c r="F896" i="3"/>
  <c r="H896" i="3" s="1"/>
  <c r="F579" i="3"/>
  <c r="H579" i="3" s="1"/>
  <c r="F812" i="3"/>
  <c r="H812" i="3" s="1"/>
  <c r="F779" i="14"/>
  <c r="F427" i="3"/>
  <c r="H427" i="3" s="1"/>
  <c r="F51" i="3"/>
  <c r="H51" i="3" s="1"/>
  <c r="F673" i="3"/>
  <c r="H673" i="3" s="1"/>
  <c r="F524" i="3"/>
  <c r="H524" i="3" s="1"/>
  <c r="F982" i="3"/>
  <c r="H982" i="3" s="1"/>
  <c r="F940" i="14"/>
  <c r="F435" i="3"/>
  <c r="H435" i="3" s="1"/>
  <c r="F81" i="3"/>
  <c r="H81" i="3" s="1"/>
  <c r="F76" i="3"/>
  <c r="H76" i="3" s="1"/>
  <c r="F79" i="3"/>
  <c r="H79" i="3" s="1"/>
  <c r="F69" i="3"/>
  <c r="H69" i="3" s="1"/>
  <c r="F340" i="3"/>
  <c r="H340" i="3" s="1"/>
  <c r="F237" i="3"/>
  <c r="H237" i="3" s="1"/>
  <c r="F687" i="3"/>
  <c r="H687" i="3" s="1"/>
  <c r="F733" i="3"/>
  <c r="H733" i="3" s="1"/>
  <c r="F892" i="3"/>
  <c r="H892" i="3" s="1"/>
  <c r="F451" i="3"/>
  <c r="F108" i="3"/>
  <c r="H108" i="3" s="1"/>
  <c r="F71" i="3"/>
  <c r="H71" i="3" s="1"/>
  <c r="G158" i="5"/>
  <c r="I158" i="5" s="1"/>
  <c r="F343" i="3"/>
  <c r="H343" i="3" s="1"/>
  <c r="F337" i="3"/>
  <c r="H337" i="3" s="1"/>
  <c r="F324" i="14"/>
  <c r="G324" i="14" s="1"/>
  <c r="F149" i="3"/>
  <c r="H149" i="3" s="1"/>
  <c r="F626" i="3"/>
  <c r="H626" i="3" s="1"/>
  <c r="F47" i="3"/>
  <c r="H47" i="3" s="1"/>
  <c r="F34" i="3"/>
  <c r="H34" i="3" s="1"/>
  <c r="F604" i="3"/>
  <c r="H604" i="3" s="1"/>
  <c r="F464" i="3"/>
  <c r="H464" i="3" s="1"/>
  <c r="F54" i="3"/>
  <c r="H54" i="3" s="1"/>
  <c r="F266" i="3"/>
  <c r="H266" i="3" s="1"/>
  <c r="F430" i="3"/>
  <c r="H430" i="3" s="1"/>
  <c r="F790" i="3"/>
  <c r="H790" i="3" s="1"/>
  <c r="F484" i="3"/>
  <c r="F622" i="3"/>
  <c r="H622" i="3" s="1"/>
  <c r="F474" i="3"/>
  <c r="H474" i="3" s="1"/>
  <c r="F616" i="3"/>
  <c r="H616" i="3" s="1"/>
  <c r="F593" i="14"/>
  <c r="F613" i="3"/>
  <c r="H613" i="3" s="1"/>
  <c r="F590" i="14"/>
  <c r="F767" i="3"/>
  <c r="H767" i="3" s="1"/>
  <c r="F716" i="3"/>
  <c r="H716" i="3" s="1"/>
  <c r="F683" i="14"/>
  <c r="G683" i="14" s="1"/>
  <c r="F917" i="3"/>
  <c r="H917" i="3" s="1"/>
  <c r="F1067" i="3"/>
  <c r="H1067" i="3" s="1"/>
  <c r="F1025" i="3"/>
  <c r="H1025" i="3" s="1"/>
  <c r="F1037" i="3"/>
  <c r="H1037" i="3" s="1"/>
  <c r="F217" i="3"/>
  <c r="H217" i="3" s="1"/>
  <c r="F940" i="3"/>
  <c r="H940" i="3" s="1"/>
  <c r="F213" i="3"/>
  <c r="H213" i="3" s="1"/>
  <c r="F45" i="3"/>
  <c r="H45" i="3" s="1"/>
  <c r="F978" i="3"/>
  <c r="H978" i="3" s="1"/>
  <c r="F972" i="3"/>
  <c r="H972" i="3" s="1"/>
  <c r="F359" i="3"/>
  <c r="H359" i="3" s="1"/>
  <c r="F288" i="3"/>
  <c r="H288" i="3" s="1"/>
  <c r="G337" i="14"/>
  <c r="F493" i="3"/>
  <c r="H493" i="3" s="1"/>
  <c r="F776" i="3"/>
  <c r="H776" i="3" s="1"/>
  <c r="F778" i="3"/>
  <c r="H778" i="3" s="1"/>
  <c r="F786" i="3"/>
  <c r="H786" i="3" s="1"/>
  <c r="F546" i="3"/>
  <c r="H546" i="3" s="1"/>
  <c r="F792" i="3"/>
  <c r="H792" i="3" s="1"/>
  <c r="F803" i="3"/>
  <c r="H803" i="3" s="1"/>
  <c r="F727" i="3"/>
  <c r="H727" i="3" s="1"/>
  <c r="F903" i="3"/>
  <c r="H903" i="3" s="1"/>
  <c r="F954" i="3"/>
  <c r="H954" i="3" s="1"/>
  <c r="F1019" i="3"/>
  <c r="H1019" i="3" s="1"/>
  <c r="F1033" i="3"/>
  <c r="H1033" i="3" s="1"/>
  <c r="F1059" i="3"/>
  <c r="H1059" i="3" s="1"/>
  <c r="F849" i="3"/>
  <c r="H849" i="3" s="1"/>
  <c r="F570" i="3"/>
  <c r="H570" i="3" s="1"/>
  <c r="F440" i="3"/>
  <c r="H440" i="3" s="1"/>
  <c r="F665" i="3"/>
  <c r="H665" i="3" s="1"/>
  <c r="F559" i="3"/>
  <c r="H559" i="3" s="1"/>
  <c r="F543" i="14"/>
  <c r="F364" i="3"/>
  <c r="H364" i="3" s="1"/>
  <c r="F358" i="14"/>
  <c r="F203" i="3"/>
  <c r="H203" i="3" s="1"/>
  <c r="G167" i="4"/>
  <c r="C17" i="1"/>
  <c r="E17" i="1" s="1"/>
  <c r="C160" i="1"/>
  <c r="E160" i="1" s="1"/>
  <c r="C43" i="1"/>
  <c r="E43" i="1" s="1"/>
  <c r="F396" i="3"/>
  <c r="H396" i="3" s="1"/>
  <c r="G844" i="5"/>
  <c r="I844" i="5" s="1"/>
  <c r="F388" i="3"/>
  <c r="H388" i="3" s="1"/>
  <c r="G830" i="5"/>
  <c r="I830" i="5" s="1"/>
  <c r="F384" i="3"/>
  <c r="H384" i="3" s="1"/>
  <c r="G823" i="5"/>
  <c r="I823" i="5" s="1"/>
  <c r="G782" i="5"/>
  <c r="I782" i="5" s="1"/>
  <c r="G780" i="5"/>
  <c r="I780" i="5" s="1"/>
  <c r="F432" i="3"/>
  <c r="G758" i="5"/>
  <c r="I758" i="5" s="1"/>
  <c r="F256" i="3"/>
  <c r="G808" i="5"/>
  <c r="I808" i="5" s="1"/>
  <c r="G944" i="5"/>
  <c r="I944" i="5" s="1"/>
  <c r="G946" i="5"/>
  <c r="I946" i="5" s="1"/>
  <c r="G751" i="5"/>
  <c r="I751" i="5" s="1"/>
  <c r="G753" i="5"/>
  <c r="I753" i="5" s="1"/>
  <c r="G668" i="5"/>
  <c r="I668" i="5" s="1"/>
  <c r="G610" i="5"/>
  <c r="I610" i="5" s="1"/>
  <c r="G612" i="5"/>
  <c r="I612" i="5" s="1"/>
  <c r="G604" i="5"/>
  <c r="I604" i="5" s="1"/>
  <c r="G606" i="5"/>
  <c r="I606" i="5" s="1"/>
  <c r="G555" i="5"/>
  <c r="I555" i="5" s="1"/>
  <c r="G557" i="5"/>
  <c r="I557" i="5" s="1"/>
  <c r="G558" i="5"/>
  <c r="I558" i="5" s="1"/>
  <c r="G560" i="5"/>
  <c r="I560" i="5" s="1"/>
  <c r="G561" i="5"/>
  <c r="I561" i="5" s="1"/>
  <c r="G563" i="5"/>
  <c r="I563" i="5" s="1"/>
  <c r="G546" i="5"/>
  <c r="I546" i="5" s="1"/>
  <c r="G548" i="5"/>
  <c r="I548" i="5" s="1"/>
  <c r="G543" i="5"/>
  <c r="I543" i="5" s="1"/>
  <c r="G545" i="5"/>
  <c r="I545" i="5" s="1"/>
  <c r="G510" i="5"/>
  <c r="I510" i="5" s="1"/>
  <c r="G512" i="5"/>
  <c r="I512" i="5" s="1"/>
  <c r="G484" i="5"/>
  <c r="I484" i="5" s="1"/>
  <c r="G480" i="5"/>
  <c r="I480" i="5" s="1"/>
  <c r="G444" i="5"/>
  <c r="I444" i="5" s="1"/>
  <c r="G405" i="5"/>
  <c r="I405" i="5" s="1"/>
  <c r="G407" i="5"/>
  <c r="I407" i="5" s="1"/>
  <c r="G397" i="5"/>
  <c r="I397" i="5" s="1"/>
  <c r="G399" i="5"/>
  <c r="I399" i="5" s="1"/>
  <c r="G367" i="5"/>
  <c r="I367" i="5" s="1"/>
  <c r="G369" i="5"/>
  <c r="I369" i="5" s="1"/>
  <c r="G334" i="5"/>
  <c r="I334" i="5" s="1"/>
  <c r="G336" i="5"/>
  <c r="I336" i="5" s="1"/>
  <c r="G322" i="5"/>
  <c r="I322" i="5" s="1"/>
  <c r="G324" i="5"/>
  <c r="I324" i="5" s="1"/>
  <c r="G326" i="5"/>
  <c r="I326" i="5" s="1"/>
  <c r="G328" i="5"/>
  <c r="I328" i="5" s="1"/>
  <c r="G288" i="5"/>
  <c r="I288" i="5" s="1"/>
  <c r="G290" i="5"/>
  <c r="I290" i="5" s="1"/>
  <c r="G292" i="5"/>
  <c r="I292" i="5" s="1"/>
  <c r="G294" i="5"/>
  <c r="I294" i="5" s="1"/>
  <c r="G269" i="5"/>
  <c r="I269" i="5" s="1"/>
  <c r="G271" i="5"/>
  <c r="I271" i="5" s="1"/>
  <c r="G273" i="5"/>
  <c r="I273" i="5" s="1"/>
  <c r="G275" i="5"/>
  <c r="I275" i="5" s="1"/>
  <c r="G25" i="5"/>
  <c r="I25" i="5" s="1"/>
  <c r="G27" i="5"/>
  <c r="I27" i="5" s="1"/>
  <c r="G28" i="5"/>
  <c r="I28" i="5" s="1"/>
  <c r="G30" i="5"/>
  <c r="I30" i="5" s="1"/>
  <c r="G735" i="4"/>
  <c r="I735" i="4" s="1"/>
  <c r="G262" i="5"/>
  <c r="I262" i="5" s="1"/>
  <c r="F636" i="3"/>
  <c r="H636" i="3" s="1"/>
  <c r="G357" i="5"/>
  <c r="I357" i="5" s="1"/>
  <c r="F608" i="3"/>
  <c r="H608" i="3" s="1"/>
  <c r="G245" i="5"/>
  <c r="I245" i="5" s="1"/>
  <c r="F629" i="3"/>
  <c r="H629" i="3" s="1"/>
  <c r="G345" i="5"/>
  <c r="I345" i="5" s="1"/>
  <c r="F528" i="3"/>
  <c r="H528" i="3" s="1"/>
  <c r="G216" i="5"/>
  <c r="I216" i="5" s="1"/>
  <c r="F522" i="3"/>
  <c r="H522" i="3" s="1"/>
  <c r="G208" i="5"/>
  <c r="I208" i="5" s="1"/>
  <c r="F602" i="3"/>
  <c r="H602" i="3" s="1"/>
  <c r="G237" i="5"/>
  <c r="I237" i="5" s="1"/>
  <c r="F755" i="3"/>
  <c r="H755" i="3" s="1"/>
  <c r="G49" i="5"/>
  <c r="I49" i="5" s="1"/>
  <c r="F927" i="3"/>
  <c r="H927" i="3" s="1"/>
  <c r="G83" i="5"/>
  <c r="F931" i="3"/>
  <c r="H931" i="3" s="1"/>
  <c r="G90" i="5"/>
  <c r="I90" i="5" s="1"/>
  <c r="F991" i="3"/>
  <c r="H991" i="3" s="1"/>
  <c r="F920" i="3"/>
  <c r="H920" i="3" s="1"/>
  <c r="F1035" i="3"/>
  <c r="H1035" i="3" s="1"/>
  <c r="F1039" i="3"/>
  <c r="H1039" i="3" s="1"/>
  <c r="F834" i="3"/>
  <c r="H834" i="3" s="1"/>
  <c r="F240" i="3"/>
  <c r="H240" i="3" s="1"/>
  <c r="G177" i="4"/>
  <c r="I177" i="4" s="1"/>
  <c r="G64" i="4"/>
  <c r="I64" i="4" s="1"/>
  <c r="G54" i="4"/>
  <c r="I54" i="4" s="1"/>
  <c r="G972" i="4"/>
  <c r="I972" i="4" s="1"/>
  <c r="G59" i="4"/>
  <c r="I59" i="4" s="1"/>
  <c r="I985" i="10"/>
  <c r="F170" i="3"/>
  <c r="H170" i="3" s="1"/>
  <c r="F1057" i="3"/>
  <c r="H1057" i="3" s="1"/>
  <c r="G999" i="4"/>
  <c r="I999" i="4" s="1"/>
  <c r="G351" i="4"/>
  <c r="I351" i="4" s="1"/>
  <c r="G107" i="4"/>
  <c r="I107" i="4" s="1"/>
  <c r="G1037" i="4"/>
  <c r="I1037" i="4" s="1"/>
  <c r="G879" i="4"/>
  <c r="I879" i="4" s="1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G919" i="15" l="1"/>
  <c r="G252" i="15"/>
  <c r="G735" i="5"/>
  <c r="I735" i="5" s="1"/>
  <c r="G192" i="5"/>
  <c r="I192" i="5" s="1"/>
  <c r="H253" i="15"/>
  <c r="G992" i="15"/>
  <c r="G772" i="5"/>
  <c r="I772" i="5" s="1"/>
  <c r="I773" i="5"/>
  <c r="G223" i="4"/>
  <c r="I223" i="4" s="1"/>
  <c r="I224" i="4"/>
  <c r="G778" i="4"/>
  <c r="I778" i="4" s="1"/>
  <c r="I779" i="4"/>
  <c r="G13" i="6"/>
  <c r="I14" i="6"/>
  <c r="G1097" i="4"/>
  <c r="I1097" i="4" s="1"/>
  <c r="I1098" i="4"/>
  <c r="G256" i="5"/>
  <c r="I256" i="5" s="1"/>
  <c r="I257" i="5"/>
  <c r="G677" i="5"/>
  <c r="I677" i="5" s="1"/>
  <c r="I681" i="5"/>
  <c r="G1123" i="4"/>
  <c r="I1123" i="4" s="1"/>
  <c r="G84" i="5"/>
  <c r="I84" i="5" s="1"/>
  <c r="I83" i="5"/>
  <c r="G556" i="4"/>
  <c r="I556" i="4" s="1"/>
  <c r="I557" i="4"/>
  <c r="G706" i="5"/>
  <c r="I706" i="5" s="1"/>
  <c r="I707" i="5"/>
  <c r="G838" i="5"/>
  <c r="I838" i="5" s="1"/>
  <c r="I837" i="5"/>
  <c r="G544" i="4"/>
  <c r="I544" i="4" s="1"/>
  <c r="I545" i="4"/>
  <c r="G352" i="5"/>
  <c r="I352" i="5" s="1"/>
  <c r="I353" i="5"/>
  <c r="G1214" i="4"/>
  <c r="I124" i="4"/>
  <c r="G564" i="14"/>
  <c r="G764" i="4"/>
  <c r="I764" i="4" s="1"/>
  <c r="G888" i="4"/>
  <c r="I892" i="4"/>
  <c r="G416" i="4"/>
  <c r="I416" i="4" s="1"/>
  <c r="I417" i="4"/>
  <c r="G847" i="10"/>
  <c r="G784" i="10" s="1"/>
  <c r="G985" i="10" s="1"/>
  <c r="G32" i="6"/>
  <c r="I33" i="6"/>
  <c r="H806" i="5"/>
  <c r="G115" i="15"/>
  <c r="I120" i="4"/>
  <c r="H44" i="15"/>
  <c r="I39" i="4"/>
  <c r="G857" i="4"/>
  <c r="I857" i="4" s="1"/>
  <c r="I858" i="4"/>
  <c r="G832" i="4"/>
  <c r="I832" i="4" s="1"/>
  <c r="I836" i="4"/>
  <c r="G702" i="5"/>
  <c r="I702" i="5" s="1"/>
  <c r="I703" i="5"/>
  <c r="G865" i="4"/>
  <c r="I866" i="4"/>
  <c r="G462" i="4"/>
  <c r="I462" i="4" s="1"/>
  <c r="I463" i="4"/>
  <c r="F14" i="3"/>
  <c r="H14" i="3" s="1"/>
  <c r="G805" i="4"/>
  <c r="I805" i="4" s="1"/>
  <c r="I806" i="4"/>
  <c r="G627" i="4"/>
  <c r="I627" i="4" s="1"/>
  <c r="I628" i="4"/>
  <c r="G340" i="5"/>
  <c r="I340" i="5" s="1"/>
  <c r="I341" i="5"/>
  <c r="G1202" i="4"/>
  <c r="I198" i="4"/>
  <c r="G303" i="15"/>
  <c r="G1076" i="4"/>
  <c r="I1076" i="4" s="1"/>
  <c r="G38" i="6"/>
  <c r="I39" i="6"/>
  <c r="G28" i="6"/>
  <c r="I29" i="6"/>
  <c r="H252" i="15"/>
  <c r="G655" i="15"/>
  <c r="H655" i="15" s="1"/>
  <c r="I661" i="4"/>
  <c r="G658" i="15"/>
  <c r="H658" i="15" s="1"/>
  <c r="I664" i="4"/>
  <c r="G682" i="15"/>
  <c r="H682" i="15" s="1"/>
  <c r="H681" i="15" s="1"/>
  <c r="I688" i="4"/>
  <c r="G575" i="15"/>
  <c r="I581" i="4"/>
  <c r="G578" i="15"/>
  <c r="H578" i="15" s="1"/>
  <c r="I584" i="4"/>
  <c r="I168" i="4"/>
  <c r="F426" i="14"/>
  <c r="G426" i="14" s="1"/>
  <c r="H451" i="3"/>
  <c r="F950" i="14"/>
  <c r="H993" i="3"/>
  <c r="F372" i="14"/>
  <c r="G372" i="14" s="1"/>
  <c r="H392" i="3"/>
  <c r="H256" i="3"/>
  <c r="G255" i="3"/>
  <c r="F410" i="14"/>
  <c r="H432" i="3"/>
  <c r="F511" i="14"/>
  <c r="G511" i="14" s="1"/>
  <c r="H535" i="3"/>
  <c r="F209" i="3"/>
  <c r="H209" i="3" s="1"/>
  <c r="H210" i="3"/>
  <c r="F481" i="3"/>
  <c r="H481" i="3" s="1"/>
  <c r="H484" i="3"/>
  <c r="F632" i="3"/>
  <c r="H632" i="3" s="1"/>
  <c r="H633" i="3"/>
  <c r="F548" i="3"/>
  <c r="H548" i="3" s="1"/>
  <c r="H549" i="3"/>
  <c r="F175" i="3"/>
  <c r="H175" i="3" s="1"/>
  <c r="H176" i="3"/>
  <c r="C125" i="1"/>
  <c r="E125" i="1" s="1"/>
  <c r="G978" i="10"/>
  <c r="G637" i="4"/>
  <c r="I637" i="4" s="1"/>
  <c r="G300" i="4"/>
  <c r="I300" i="4" s="1"/>
  <c r="G214" i="16"/>
  <c r="G28" i="10"/>
  <c r="G941" i="4"/>
  <c r="I941" i="4" s="1"/>
  <c r="H557" i="15"/>
  <c r="H631" i="15"/>
  <c r="G1179" i="4"/>
  <c r="H794" i="16"/>
  <c r="H193" i="16"/>
  <c r="G490" i="14"/>
  <c r="F688" i="14"/>
  <c r="H780" i="16"/>
  <c r="D113" i="12"/>
  <c r="D112" i="12" s="1"/>
  <c r="D111" i="12" s="1"/>
  <c r="G725" i="4"/>
  <c r="I725" i="4" s="1"/>
  <c r="G563" i="4"/>
  <c r="I563" i="4" s="1"/>
  <c r="G988" i="10"/>
  <c r="G1185" i="4"/>
  <c r="G278" i="10"/>
  <c r="G277" i="10" s="1"/>
  <c r="G220" i="10" s="1"/>
  <c r="G1009" i="10"/>
  <c r="G506" i="10"/>
  <c r="G498" i="10" s="1"/>
  <c r="G22" i="5"/>
  <c r="I22" i="5" s="1"/>
  <c r="H64" i="15"/>
  <c r="G673" i="10"/>
  <c r="F271" i="14"/>
  <c r="G271" i="14" s="1"/>
  <c r="F275" i="3"/>
  <c r="C10" i="1"/>
  <c r="E10" i="1" s="1"/>
  <c r="G858" i="15"/>
  <c r="G27" i="10"/>
  <c r="G981" i="10"/>
  <c r="G986" i="10"/>
  <c r="H772" i="16"/>
  <c r="H153" i="16"/>
  <c r="H152" i="16" s="1"/>
  <c r="H151" i="16" s="1"/>
  <c r="H150" i="16" s="1"/>
  <c r="H149" i="16" s="1"/>
  <c r="H148" i="16" s="1"/>
  <c r="H213" i="16"/>
  <c r="H286" i="16"/>
  <c r="H515" i="16"/>
  <c r="H257" i="16"/>
  <c r="H256" i="16" s="1"/>
  <c r="G667" i="15"/>
  <c r="H234" i="16"/>
  <c r="H744" i="15"/>
  <c r="H743" i="15" s="1"/>
  <c r="G737" i="14"/>
  <c r="G736" i="14" s="1"/>
  <c r="G735" i="14" s="1"/>
  <c r="H330" i="16"/>
  <c r="H329" i="16" s="1"/>
  <c r="H316" i="16" s="1"/>
  <c r="H315" i="16" s="1"/>
  <c r="H314" i="16" s="1"/>
  <c r="G280" i="14"/>
  <c r="G279" i="14" s="1"/>
  <c r="G276" i="14" s="1"/>
  <c r="H180" i="15"/>
  <c r="H177" i="15" s="1"/>
  <c r="H495" i="16"/>
  <c r="H494" i="16" s="1"/>
  <c r="H489" i="16" s="1"/>
  <c r="H488" i="16" s="1"/>
  <c r="H487" i="16" s="1"/>
  <c r="G45" i="4"/>
  <c r="I45" i="4" s="1"/>
  <c r="G590" i="4"/>
  <c r="I590" i="4" s="1"/>
  <c r="G227" i="15"/>
  <c r="G226" i="15" s="1"/>
  <c r="G1153" i="15" s="1"/>
  <c r="H714" i="16"/>
  <c r="H713" i="16" s="1"/>
  <c r="H708" i="16" s="1"/>
  <c r="H707" i="16" s="1"/>
  <c r="H705" i="16" s="1"/>
  <c r="H749" i="15"/>
  <c r="H227" i="15"/>
  <c r="H226" i="15" s="1"/>
  <c r="H1153" i="15" s="1"/>
  <c r="H768" i="15"/>
  <c r="H763" i="15" s="1"/>
  <c r="F151" i="14"/>
  <c r="G115" i="4"/>
  <c r="I115" i="4" s="1"/>
  <c r="G741" i="14"/>
  <c r="H152" i="15"/>
  <c r="H151" i="15" s="1"/>
  <c r="G71" i="14"/>
  <c r="H240" i="16"/>
  <c r="H239" i="16" s="1"/>
  <c r="H214" i="16" s="1"/>
  <c r="H59" i="15"/>
  <c r="G29" i="4"/>
  <c r="I29" i="4" s="1"/>
  <c r="H663" i="16"/>
  <c r="H664" i="16" s="1"/>
  <c r="G694" i="14"/>
  <c r="G693" i="14" s="1"/>
  <c r="G692" i="14" s="1"/>
  <c r="H308" i="15"/>
  <c r="H307" i="15" s="1"/>
  <c r="H737" i="16"/>
  <c r="H738" i="16" s="1"/>
  <c r="G423" i="14"/>
  <c r="G422" i="14" s="1"/>
  <c r="G421" i="14" s="1"/>
  <c r="H997" i="15"/>
  <c r="H996" i="15" s="1"/>
  <c r="G50" i="14"/>
  <c r="G49" i="14" s="1"/>
  <c r="H42" i="15"/>
  <c r="H35" i="15" s="1"/>
  <c r="H338" i="16"/>
  <c r="H337" i="16" s="1"/>
  <c r="H336" i="16" s="1"/>
  <c r="G603" i="14"/>
  <c r="G602" i="14" s="1"/>
  <c r="G601" i="14" s="1"/>
  <c r="G600" i="14" s="1"/>
  <c r="H669" i="15"/>
  <c r="H668" i="15" s="1"/>
  <c r="H667" i="15" s="1"/>
  <c r="G469" i="14"/>
  <c r="G466" i="14"/>
  <c r="H353" i="16"/>
  <c r="G613" i="14"/>
  <c r="G612" i="14" s="1"/>
  <c r="G611" i="14" s="1"/>
  <c r="H679" i="15"/>
  <c r="H678" i="15" s="1"/>
  <c r="G155" i="14"/>
  <c r="G154" i="14" s="1"/>
  <c r="H110" i="15"/>
  <c r="F133" i="14"/>
  <c r="G53" i="14"/>
  <c r="G52" i="14" s="1"/>
  <c r="G51" i="14" s="1"/>
  <c r="H45" i="15"/>
  <c r="G139" i="14"/>
  <c r="G138" i="14" s="1"/>
  <c r="H863" i="15"/>
  <c r="G153" i="14"/>
  <c r="G152" i="14" s="1"/>
  <c r="H108" i="15"/>
  <c r="H189" i="16"/>
  <c r="H190" i="16" s="1"/>
  <c r="G641" i="14"/>
  <c r="G640" i="14" s="1"/>
  <c r="G639" i="14" s="1"/>
  <c r="H707" i="15"/>
  <c r="H706" i="15" s="1"/>
  <c r="H909" i="16"/>
  <c r="H380" i="16"/>
  <c r="H205" i="16"/>
  <c r="H511" i="16"/>
  <c r="H512" i="16" s="1"/>
  <c r="G990" i="14"/>
  <c r="G989" i="14" s="1"/>
  <c r="G988" i="14" s="1"/>
  <c r="H846" i="15"/>
  <c r="H845" i="15" s="1"/>
  <c r="H44" i="16"/>
  <c r="H43" i="16" s="1"/>
  <c r="H42" i="16" s="1"/>
  <c r="H41" i="16" s="1"/>
  <c r="H40" i="16" s="1"/>
  <c r="H28" i="16" s="1"/>
  <c r="H365" i="16"/>
  <c r="G891" i="14"/>
  <c r="G890" i="14" s="1"/>
  <c r="G889" i="14" s="1"/>
  <c r="H460" i="15"/>
  <c r="H459" i="15" s="1"/>
  <c r="H349" i="16"/>
  <c r="H348" i="16" s="1"/>
  <c r="H347" i="16" s="1"/>
  <c r="G610" i="14"/>
  <c r="G609" i="14" s="1"/>
  <c r="G608" i="14" s="1"/>
  <c r="H676" i="15"/>
  <c r="H675" i="15" s="1"/>
  <c r="H929" i="16"/>
  <c r="H928" i="16" s="1"/>
  <c r="H927" i="16" s="1"/>
  <c r="H926" i="16" s="1"/>
  <c r="H925" i="16" s="1"/>
  <c r="H924" i="16" s="1"/>
  <c r="H923" i="16" s="1"/>
  <c r="H1017" i="15"/>
  <c r="H1016" i="15" s="1"/>
  <c r="H1015" i="15" s="1"/>
  <c r="H1014" i="15" s="1"/>
  <c r="G443" i="14"/>
  <c r="G442" i="14" s="1"/>
  <c r="G441" i="14" s="1"/>
  <c r="G46" i="14"/>
  <c r="G45" i="14" s="1"/>
  <c r="H500" i="15"/>
  <c r="H497" i="15" s="1"/>
  <c r="H496" i="15" s="1"/>
  <c r="G979" i="14"/>
  <c r="G978" i="14" s="1"/>
  <c r="G975" i="14" s="1"/>
  <c r="H835" i="15"/>
  <c r="H832" i="15" s="1"/>
  <c r="G137" i="14"/>
  <c r="G136" i="14" s="1"/>
  <c r="H861" i="15"/>
  <c r="H937" i="16"/>
  <c r="H938" i="16" s="1"/>
  <c r="G204" i="14"/>
  <c r="G203" i="14" s="1"/>
  <c r="G202" i="14" s="1"/>
  <c r="H523" i="15"/>
  <c r="H522" i="15" s="1"/>
  <c r="H503" i="16"/>
  <c r="H504" i="16" s="1"/>
  <c r="G958" i="14"/>
  <c r="G957" i="14" s="1"/>
  <c r="G956" i="14" s="1"/>
  <c r="H814" i="15"/>
  <c r="H813" i="15" s="1"/>
  <c r="H289" i="16"/>
  <c r="H290" i="16" s="1"/>
  <c r="G526" i="14"/>
  <c r="G525" i="14" s="1"/>
  <c r="G524" i="14" s="1"/>
  <c r="H592" i="15"/>
  <c r="H591" i="15" s="1"/>
  <c r="H584" i="15" s="1"/>
  <c r="G867" i="14"/>
  <c r="G866" i="14" s="1"/>
  <c r="G865" i="14" s="1"/>
  <c r="H442" i="15"/>
  <c r="H441" i="15" s="1"/>
  <c r="H1068" i="15"/>
  <c r="H1067" i="15" s="1"/>
  <c r="G14" i="14"/>
  <c r="G13" i="14" s="1"/>
  <c r="G12" i="14" s="1"/>
  <c r="G11" i="14" s="1"/>
  <c r="G10" i="14" s="1"/>
  <c r="G9" i="14" s="1"/>
  <c r="E12" i="13" s="1"/>
  <c r="G107" i="15"/>
  <c r="H254" i="16"/>
  <c r="H253" i="16" s="1"/>
  <c r="H252" i="16" s="1"/>
  <c r="H717" i="15"/>
  <c r="H716" i="15" s="1"/>
  <c r="H709" i="15" s="1"/>
  <c r="G651" i="14"/>
  <c r="G650" i="14" s="1"/>
  <c r="G649" i="14" s="1"/>
  <c r="G642" i="14" s="1"/>
  <c r="H671" i="16"/>
  <c r="H672" i="16" s="1"/>
  <c r="G700" i="14"/>
  <c r="G699" i="14" s="1"/>
  <c r="G698" i="14" s="1"/>
  <c r="H314" i="15"/>
  <c r="H313" i="15" s="1"/>
  <c r="H310" i="15"/>
  <c r="H667" i="16"/>
  <c r="H668" i="16" s="1"/>
  <c r="G697" i="14"/>
  <c r="G696" i="14" s="1"/>
  <c r="G695" i="14" s="1"/>
  <c r="H311" i="15"/>
  <c r="G904" i="14"/>
  <c r="G903" i="14" s="1"/>
  <c r="H388" i="16"/>
  <c r="F42" i="14"/>
  <c r="G50" i="15"/>
  <c r="G354" i="16"/>
  <c r="G197" i="4"/>
  <c r="I197" i="4" s="1"/>
  <c r="H391" i="16"/>
  <c r="H390" i="16" s="1"/>
  <c r="H389" i="16" s="1"/>
  <c r="H384" i="16" s="1"/>
  <c r="H383" i="16" s="1"/>
  <c r="H382" i="16" s="1"/>
  <c r="H381" i="16" s="1"/>
  <c r="G144" i="4"/>
  <c r="I144" i="4" s="1"/>
  <c r="H26" i="16"/>
  <c r="G594" i="15"/>
  <c r="H594" i="15"/>
  <c r="G997" i="14"/>
  <c r="F997" i="14"/>
  <c r="F391" i="3"/>
  <c r="F158" i="3"/>
  <c r="F140" i="3"/>
  <c r="H140" i="3" s="1"/>
  <c r="G836" i="5"/>
  <c r="G354" i="5"/>
  <c r="I354" i="5" s="1"/>
  <c r="G519" i="5"/>
  <c r="I519" i="5" s="1"/>
  <c r="F115" i="3"/>
  <c r="H115" i="3" s="1"/>
  <c r="G958" i="4"/>
  <c r="G1070" i="4"/>
  <c r="G99" i="16"/>
  <c r="G100" i="16"/>
  <c r="G496" i="4"/>
  <c r="G713" i="16"/>
  <c r="G708" i="16" s="1"/>
  <c r="G707" i="16" s="1"/>
  <c r="G706" i="16" s="1"/>
  <c r="G680" i="4"/>
  <c r="I680" i="4" s="1"/>
  <c r="G248" i="4"/>
  <c r="G584" i="15"/>
  <c r="G316" i="16"/>
  <c r="G315" i="16" s="1"/>
  <c r="G314" i="16" s="1"/>
  <c r="H908" i="15"/>
  <c r="H907" i="15" s="1"/>
  <c r="H170" i="15"/>
  <c r="G170" i="15"/>
  <c r="G373" i="16"/>
  <c r="G374" i="16"/>
  <c r="G26" i="16"/>
  <c r="G24" i="16"/>
  <c r="G20" i="16" s="1"/>
  <c r="G19" i="16" s="1"/>
  <c r="G18" i="16" s="1"/>
  <c r="G17" i="16" s="1"/>
  <c r="G9" i="16" s="1"/>
  <c r="H316" i="15"/>
  <c r="H317" i="15"/>
  <c r="G191" i="15"/>
  <c r="G339" i="16"/>
  <c r="G337" i="16"/>
  <c r="G336" i="16" s="1"/>
  <c r="G255" i="16"/>
  <c r="G253" i="16"/>
  <c r="G252" i="16" s="1"/>
  <c r="G243" i="16" s="1"/>
  <c r="G78" i="16"/>
  <c r="G77" i="16" s="1"/>
  <c r="G76" i="16" s="1"/>
  <c r="G75" i="16" s="1"/>
  <c r="G80" i="16"/>
  <c r="H868" i="15"/>
  <c r="H867" i="15" s="1"/>
  <c r="H866" i="15" s="1"/>
  <c r="H865" i="15" s="1"/>
  <c r="G868" i="15"/>
  <c r="G867" i="15" s="1"/>
  <c r="G866" i="15" s="1"/>
  <c r="G865" i="15" s="1"/>
  <c r="G739" i="15"/>
  <c r="G738" i="15" s="1"/>
  <c r="G737" i="15" s="1"/>
  <c r="G736" i="15" s="1"/>
  <c r="H1008" i="15"/>
  <c r="H1007" i="15" s="1"/>
  <c r="G1007" i="15"/>
  <c r="G1122" i="15" s="1"/>
  <c r="H411" i="15"/>
  <c r="H410" i="15" s="1"/>
  <c r="G411" i="15"/>
  <c r="G410" i="15" s="1"/>
  <c r="H359" i="15"/>
  <c r="G359" i="15"/>
  <c r="H646" i="16"/>
  <c r="H373" i="16"/>
  <c r="H374" i="16"/>
  <c r="H341" i="16"/>
  <c r="H340" i="16" s="1"/>
  <c r="H343" i="16"/>
  <c r="G350" i="16"/>
  <c r="G348" i="16"/>
  <c r="G347" i="16" s="1"/>
  <c r="G930" i="16"/>
  <c r="G928" i="16"/>
  <c r="G927" i="16" s="1"/>
  <c r="G926" i="16" s="1"/>
  <c r="G925" i="16" s="1"/>
  <c r="G924" i="16" s="1"/>
  <c r="G923" i="16" s="1"/>
  <c r="G357" i="16"/>
  <c r="G356" i="16" s="1"/>
  <c r="G355" i="16"/>
  <c r="H243" i="15"/>
  <c r="H244" i="15"/>
  <c r="H1058" i="15"/>
  <c r="H1057" i="15" s="1"/>
  <c r="H1056" i="15" s="1"/>
  <c r="H1055" i="15" s="1"/>
  <c r="H1054" i="15" s="1"/>
  <c r="G1058" i="15"/>
  <c r="G1057" i="15" s="1"/>
  <c r="G1056" i="15" s="1"/>
  <c r="G1055" i="15" s="1"/>
  <c r="G1054" i="15" s="1"/>
  <c r="G674" i="15"/>
  <c r="H732" i="15"/>
  <c r="H731" i="15"/>
  <c r="G938" i="16"/>
  <c r="G936" i="16"/>
  <c r="G935" i="16" s="1"/>
  <c r="G934" i="16" s="1"/>
  <c r="G933" i="16" s="1"/>
  <c r="H289" i="15"/>
  <c r="G289" i="15"/>
  <c r="H380" i="15"/>
  <c r="G380" i="15"/>
  <c r="H469" i="15"/>
  <c r="H468" i="15" s="1"/>
  <c r="G469" i="15"/>
  <c r="G468" i="15" s="1"/>
  <c r="H801" i="16"/>
  <c r="G512" i="16"/>
  <c r="G510" i="16"/>
  <c r="G509" i="16" s="1"/>
  <c r="G508" i="16" s="1"/>
  <c r="G507" i="16" s="1"/>
  <c r="G506" i="16" s="1"/>
  <c r="G505" i="16" s="1"/>
  <c r="G672" i="16"/>
  <c r="G670" i="16"/>
  <c r="G669" i="16" s="1"/>
  <c r="H453" i="15"/>
  <c r="H452" i="15"/>
  <c r="H355" i="16"/>
  <c r="H357" i="16"/>
  <c r="H356" i="16" s="1"/>
  <c r="G343" i="16"/>
  <c r="G341" i="16"/>
  <c r="G340" i="16" s="1"/>
  <c r="H614" i="15"/>
  <c r="H613" i="15"/>
  <c r="H688" i="15"/>
  <c r="G688" i="15"/>
  <c r="H528" i="15"/>
  <c r="H527" i="15" s="1"/>
  <c r="H526" i="15" s="1"/>
  <c r="H525" i="15" s="1"/>
  <c r="G528" i="15"/>
  <c r="G527" i="15" s="1"/>
  <c r="G526" i="15" s="1"/>
  <c r="G525" i="15" s="1"/>
  <c r="H698" i="15"/>
  <c r="H697" i="15" s="1"/>
  <c r="G698" i="15"/>
  <c r="G697" i="15" s="1"/>
  <c r="G1015" i="15"/>
  <c r="G1014" i="15" s="1"/>
  <c r="G390" i="16"/>
  <c r="G389" i="16" s="1"/>
  <c r="G384" i="16" s="1"/>
  <c r="G383" i="16" s="1"/>
  <c r="G382" i="16" s="1"/>
  <c r="G381" i="16" s="1"/>
  <c r="G392" i="16"/>
  <c r="G664" i="16"/>
  <c r="G662" i="16"/>
  <c r="G661" i="16" s="1"/>
  <c r="G738" i="16"/>
  <c r="G736" i="16"/>
  <c r="G735" i="16" s="1"/>
  <c r="G730" i="16" s="1"/>
  <c r="G729" i="16" s="1"/>
  <c r="G668" i="16"/>
  <c r="G666" i="16"/>
  <c r="G665" i="16" s="1"/>
  <c r="G504" i="16"/>
  <c r="G502" i="16"/>
  <c r="G501" i="16" s="1"/>
  <c r="G500" i="16" s="1"/>
  <c r="G499" i="16" s="1"/>
  <c r="G498" i="16" s="1"/>
  <c r="G456" i="16" s="1"/>
  <c r="G288" i="16"/>
  <c r="G287" i="16" s="1"/>
  <c r="G278" i="16" s="1"/>
  <c r="G277" i="16" s="1"/>
  <c r="G276" i="16" s="1"/>
  <c r="G260" i="16" s="1"/>
  <c r="G290" i="16"/>
  <c r="H26" i="17"/>
  <c r="H25" i="17" s="1"/>
  <c r="H24" i="17" s="1"/>
  <c r="H23" i="17" s="1"/>
  <c r="H22" i="17" s="1"/>
  <c r="H21" i="17" s="1"/>
  <c r="H39" i="17" s="1"/>
  <c r="H79" i="16"/>
  <c r="G646" i="16"/>
  <c r="G644" i="16"/>
  <c r="G640" i="16" s="1"/>
  <c r="H138" i="15"/>
  <c r="H137" i="15" s="1"/>
  <c r="H136" i="15" s="1"/>
  <c r="H135" i="15" s="1"/>
  <c r="H134" i="15" s="1"/>
  <c r="G137" i="15"/>
  <c r="G136" i="15" s="1"/>
  <c r="G135" i="15" s="1"/>
  <c r="G134" i="15" s="1"/>
  <c r="H187" i="15"/>
  <c r="H183" i="15" s="1"/>
  <c r="H182" i="15" s="1"/>
  <c r="G183" i="15"/>
  <c r="G182" i="15" s="1"/>
  <c r="H267" i="15"/>
  <c r="H266" i="15" s="1"/>
  <c r="H251" i="15" s="1"/>
  <c r="H250" i="15" s="1"/>
  <c r="H249" i="15" s="1"/>
  <c r="H248" i="15" s="1"/>
  <c r="G266" i="15"/>
  <c r="H575" i="15"/>
  <c r="G580" i="4"/>
  <c r="I580" i="4" s="1"/>
  <c r="H603" i="15"/>
  <c r="H602" i="15" s="1"/>
  <c r="H601" i="15" s="1"/>
  <c r="G602" i="15"/>
  <c r="G601" i="15" s="1"/>
  <c r="G681" i="15"/>
  <c r="H694" i="15"/>
  <c r="H693" i="15" s="1"/>
  <c r="H692" i="15" s="1"/>
  <c r="G693" i="15"/>
  <c r="G692" i="15" s="1"/>
  <c r="H724" i="15"/>
  <c r="H723" i="15" s="1"/>
  <c r="G723" i="15"/>
  <c r="H882" i="15"/>
  <c r="H881" i="15" s="1"/>
  <c r="H880" i="15" s="1"/>
  <c r="H879" i="15" s="1"/>
  <c r="G881" i="15"/>
  <c r="G880" i="15" s="1"/>
  <c r="G879" i="15" s="1"/>
  <c r="H895" i="15"/>
  <c r="H894" i="15" s="1"/>
  <c r="H893" i="15" s="1"/>
  <c r="H892" i="15" s="1"/>
  <c r="G894" i="15"/>
  <c r="G893" i="15" s="1"/>
  <c r="G892" i="15" s="1"/>
  <c r="G908" i="15"/>
  <c r="G907" i="15" s="1"/>
  <c r="H962" i="15"/>
  <c r="H961" i="15" s="1"/>
  <c r="G961" i="15"/>
  <c r="H954" i="15"/>
  <c r="H953" i="15" s="1"/>
  <c r="G953" i="15"/>
  <c r="H958" i="15"/>
  <c r="H957" i="15" s="1"/>
  <c r="G957" i="15"/>
  <c r="G801" i="16"/>
  <c r="G799" i="16"/>
  <c r="G798" i="16" s="1"/>
  <c r="G797" i="16" s="1"/>
  <c r="G796" i="16" s="1"/>
  <c r="G795" i="16" s="1"/>
  <c r="G780" i="16" s="1"/>
  <c r="H363" i="15"/>
  <c r="G363" i="15"/>
  <c r="H637" i="16"/>
  <c r="H639" i="16"/>
  <c r="H638" i="16" s="1"/>
  <c r="C136" i="12"/>
  <c r="C137" i="12"/>
  <c r="D136" i="12"/>
  <c r="D137" i="12"/>
  <c r="G787" i="14"/>
  <c r="F787" i="14"/>
  <c r="G196" i="14"/>
  <c r="G191" i="14" s="1"/>
  <c r="F196" i="14"/>
  <c r="F191" i="14" s="1"/>
  <c r="G543" i="14"/>
  <c r="G542" i="14" s="1"/>
  <c r="G541" i="14" s="1"/>
  <c r="F542" i="14"/>
  <c r="F541" i="14" s="1"/>
  <c r="F948" i="14"/>
  <c r="G899" i="14"/>
  <c r="G898" i="14" s="1"/>
  <c r="F899" i="14"/>
  <c r="F898" i="14" s="1"/>
  <c r="G625" i="14"/>
  <c r="F625" i="14"/>
  <c r="G812" i="14"/>
  <c r="F812" i="14"/>
  <c r="G358" i="14"/>
  <c r="G344" i="14" s="1"/>
  <c r="F344" i="14"/>
  <c r="G631" i="14"/>
  <c r="G630" i="14" s="1"/>
  <c r="F631" i="14"/>
  <c r="F630" i="14" s="1"/>
  <c r="G334" i="14"/>
  <c r="G333" i="14" s="1"/>
  <c r="F333" i="14"/>
  <c r="G554" i="14"/>
  <c r="F554" i="14"/>
  <c r="G928" i="14"/>
  <c r="F928" i="14"/>
  <c r="G190" i="16"/>
  <c r="G188" i="16"/>
  <c r="G187" i="16" s="1"/>
  <c r="G186" i="16" s="1"/>
  <c r="G163" i="16" s="1"/>
  <c r="G162" i="16" s="1"/>
  <c r="H1085" i="15"/>
  <c r="H1084" i="15" s="1"/>
  <c r="H1083" i="15" s="1"/>
  <c r="G1085" i="15"/>
  <c r="G1084" i="15" s="1"/>
  <c r="G1083" i="15" s="1"/>
  <c r="F11" i="14"/>
  <c r="F10" i="14" s="1"/>
  <c r="F9" i="14" s="1"/>
  <c r="D12" i="13" s="1"/>
  <c r="G496" i="15"/>
  <c r="G841" i="14"/>
  <c r="G840" i="14" s="1"/>
  <c r="F841" i="14"/>
  <c r="F840" i="14" s="1"/>
  <c r="H417" i="15"/>
  <c r="H416" i="15" s="1"/>
  <c r="G417" i="15"/>
  <c r="G416" i="15" s="1"/>
  <c r="G769" i="14"/>
  <c r="F769" i="14"/>
  <c r="H89" i="15"/>
  <c r="H88" i="15" s="1"/>
  <c r="H87" i="15" s="1"/>
  <c r="G89" i="15"/>
  <c r="G88" i="15" s="1"/>
  <c r="G87" i="15" s="1"/>
  <c r="H13" i="15"/>
  <c r="H12" i="15" s="1"/>
  <c r="H11" i="15" s="1"/>
  <c r="H10" i="15" s="1"/>
  <c r="H9" i="15" s="1"/>
  <c r="G13" i="15"/>
  <c r="G12" i="15" s="1"/>
  <c r="G11" i="15" s="1"/>
  <c r="G10" i="15" s="1"/>
  <c r="G9" i="15" s="1"/>
  <c r="G108" i="14"/>
  <c r="F108" i="14"/>
  <c r="G870" i="5"/>
  <c r="I870" i="5" s="1"/>
  <c r="H115" i="15"/>
  <c r="F1032" i="3"/>
  <c r="G1142" i="4"/>
  <c r="G411" i="5"/>
  <c r="I411" i="5" s="1"/>
  <c r="G409" i="5"/>
  <c r="I409" i="5" s="1"/>
  <c r="G528" i="4"/>
  <c r="F775" i="3"/>
  <c r="G660" i="4"/>
  <c r="I660" i="4" s="1"/>
  <c r="F78" i="3"/>
  <c r="H78" i="3" s="1"/>
  <c r="F769" i="3"/>
  <c r="H769" i="3" s="1"/>
  <c r="F578" i="3"/>
  <c r="H578" i="3" s="1"/>
  <c r="G112" i="5"/>
  <c r="G191" i="5"/>
  <c r="G168" i="5"/>
  <c r="I168" i="5" s="1"/>
  <c r="G426" i="5"/>
  <c r="I426" i="5" s="1"/>
  <c r="G159" i="5"/>
  <c r="I159" i="5" s="1"/>
  <c r="G157" i="5"/>
  <c r="G774" i="4"/>
  <c r="G1002" i="4"/>
  <c r="I1002" i="4" s="1"/>
  <c r="G290" i="4"/>
  <c r="I290" i="4" s="1"/>
  <c r="H1157" i="15"/>
  <c r="G1157" i="15"/>
  <c r="H1158" i="15"/>
  <c r="G1158" i="15"/>
  <c r="G1033" i="4"/>
  <c r="I1033" i="4" s="1"/>
  <c r="G350" i="4"/>
  <c r="I350" i="4" s="1"/>
  <c r="G278" i="4"/>
  <c r="I278" i="4" s="1"/>
  <c r="G163" i="4"/>
  <c r="G1191" i="4"/>
  <c r="G448" i="4"/>
  <c r="I448" i="4" s="1"/>
  <c r="G851" i="4"/>
  <c r="I851" i="4" s="1"/>
  <c r="G468" i="4"/>
  <c r="I468" i="4" s="1"/>
  <c r="G182" i="4"/>
  <c r="I182" i="4" s="1"/>
  <c r="G614" i="4"/>
  <c r="I614" i="4" s="1"/>
  <c r="G1114" i="4"/>
  <c r="I1114" i="4" s="1"/>
  <c r="G321" i="4"/>
  <c r="I321" i="4" s="1"/>
  <c r="G513" i="4"/>
  <c r="I513" i="4" s="1"/>
  <c r="G216" i="4"/>
  <c r="I216" i="4" s="1"/>
  <c r="G878" i="4"/>
  <c r="I878" i="4" s="1"/>
  <c r="G205" i="4"/>
  <c r="I205" i="4" s="1"/>
  <c r="G106" i="4"/>
  <c r="I106" i="4" s="1"/>
  <c r="G998" i="4"/>
  <c r="I998" i="4" s="1"/>
  <c r="G946" i="15"/>
  <c r="G342" i="4"/>
  <c r="I342" i="4" s="1"/>
  <c r="G328" i="4"/>
  <c r="I328" i="4" s="1"/>
  <c r="G176" i="4"/>
  <c r="G914" i="4"/>
  <c r="I914" i="4" s="1"/>
  <c r="G825" i="4"/>
  <c r="I825" i="4" s="1"/>
  <c r="G1145" i="15"/>
  <c r="G815" i="4"/>
  <c r="I815" i="4" s="1"/>
  <c r="G796" i="15"/>
  <c r="G721" i="4"/>
  <c r="I721" i="4" s="1"/>
  <c r="G372" i="4"/>
  <c r="G687" i="4"/>
  <c r="I687" i="4" s="1"/>
  <c r="G427" i="4"/>
  <c r="I427" i="4" s="1"/>
  <c r="G673" i="4"/>
  <c r="I673" i="4" s="1"/>
  <c r="F350" i="3"/>
  <c r="G151" i="4"/>
  <c r="I151" i="4" s="1"/>
  <c r="G192" i="4"/>
  <c r="I192" i="4" s="1"/>
  <c r="G1153" i="4"/>
  <c r="I1153" i="4" s="1"/>
  <c r="G743" i="4"/>
  <c r="I743" i="4" s="1"/>
  <c r="G458" i="4"/>
  <c r="I458" i="4" s="1"/>
  <c r="G521" i="4"/>
  <c r="I521" i="4" s="1"/>
  <c r="G13" i="4"/>
  <c r="I13" i="4" s="1"/>
  <c r="G990" i="4"/>
  <c r="I990" i="4" s="1"/>
  <c r="H937" i="15"/>
  <c r="G708" i="4"/>
  <c r="I708" i="4" s="1"/>
  <c r="G713" i="4"/>
  <c r="I713" i="4" s="1"/>
  <c r="G410" i="4"/>
  <c r="I410" i="4" s="1"/>
  <c r="G1088" i="4"/>
  <c r="I1088" i="4" s="1"/>
  <c r="G440" i="4"/>
  <c r="I440" i="4" s="1"/>
  <c r="G994" i="4"/>
  <c r="I994" i="4" s="1"/>
  <c r="G88" i="4"/>
  <c r="I88" i="4" s="1"/>
  <c r="G1047" i="4"/>
  <c r="I1047" i="4" s="1"/>
  <c r="G906" i="4"/>
  <c r="I906" i="4" s="1"/>
  <c r="G755" i="4"/>
  <c r="I755" i="4" s="1"/>
  <c r="G926" i="5"/>
  <c r="I926" i="5" s="1"/>
  <c r="G479" i="5"/>
  <c r="G943" i="5"/>
  <c r="I943" i="5" s="1"/>
  <c r="G72" i="5"/>
  <c r="I72" i="5" s="1"/>
  <c r="G979" i="5"/>
  <c r="I979" i="5" s="1"/>
  <c r="G371" i="5"/>
  <c r="G321" i="5"/>
  <c r="I321" i="5" s="1"/>
  <c r="G509" i="5"/>
  <c r="I509" i="5" s="1"/>
  <c r="G82" i="5"/>
  <c r="I82" i="5" s="1"/>
  <c r="G272" i="5"/>
  <c r="I272" i="5" s="1"/>
  <c r="G396" i="5"/>
  <c r="I396" i="5" s="1"/>
  <c r="G483" i="5"/>
  <c r="G136" i="4"/>
  <c r="I136" i="4" s="1"/>
  <c r="G963" i="5"/>
  <c r="I963" i="5" s="1"/>
  <c r="G297" i="5"/>
  <c r="I297" i="5" s="1"/>
  <c r="G861" i="5"/>
  <c r="I861" i="5" s="1"/>
  <c r="G986" i="5"/>
  <c r="I986" i="5" s="1"/>
  <c r="G268" i="5"/>
  <c r="I268" i="5" s="1"/>
  <c r="G404" i="5"/>
  <c r="I404" i="5" s="1"/>
  <c r="G107" i="5"/>
  <c r="I107" i="5" s="1"/>
  <c r="G98" i="5"/>
  <c r="I98" i="5" s="1"/>
  <c r="G287" i="5"/>
  <c r="I287" i="5" s="1"/>
  <c r="G351" i="5"/>
  <c r="I351" i="5" s="1"/>
  <c r="G676" i="5"/>
  <c r="I676" i="5" s="1"/>
  <c r="G921" i="5"/>
  <c r="I921" i="5" s="1"/>
  <c r="G972" i="5"/>
  <c r="I972" i="5" s="1"/>
  <c r="F44" i="3"/>
  <c r="H44" i="3" s="1"/>
  <c r="F68" i="3"/>
  <c r="H68" i="3" s="1"/>
  <c r="F971" i="3"/>
  <c r="H971" i="3" s="1"/>
  <c r="G291" i="5"/>
  <c r="I291" i="5" s="1"/>
  <c r="G325" i="5"/>
  <c r="I325" i="5" s="1"/>
  <c r="G333" i="5"/>
  <c r="I333" i="5" s="1"/>
  <c r="G366" i="5"/>
  <c r="G443" i="5"/>
  <c r="I443" i="5" s="1"/>
  <c r="G489" i="5"/>
  <c r="I489" i="5" s="1"/>
  <c r="G674" i="5"/>
  <c r="I674" i="5" s="1"/>
  <c r="G779" i="5"/>
  <c r="I779" i="5" s="1"/>
  <c r="G465" i="5"/>
  <c r="I465" i="5" s="1"/>
  <c r="G516" i="5"/>
  <c r="I516" i="5" s="1"/>
  <c r="G955" i="5"/>
  <c r="I955" i="5" s="1"/>
  <c r="G905" i="5"/>
  <c r="I905" i="5" s="1"/>
  <c r="G949" i="5"/>
  <c r="I949" i="5" s="1"/>
  <c r="G936" i="5"/>
  <c r="I936" i="5" s="1"/>
  <c r="G916" i="5"/>
  <c r="I916" i="5" s="1"/>
  <c r="G848" i="5"/>
  <c r="I848" i="5" s="1"/>
  <c r="G719" i="5"/>
  <c r="I719" i="5" s="1"/>
  <c r="G65" i="5"/>
  <c r="I65" i="5" s="1"/>
  <c r="F833" i="3"/>
  <c r="H833" i="3" s="1"/>
  <c r="F919" i="3"/>
  <c r="H919" i="3" s="1"/>
  <c r="F754" i="3"/>
  <c r="H754" i="3" s="1"/>
  <c r="F628" i="3"/>
  <c r="H628" i="3" s="1"/>
  <c r="F387" i="3"/>
  <c r="H387" i="3" s="1"/>
  <c r="F208" i="3"/>
  <c r="H208" i="3" s="1"/>
  <c r="F664" i="3"/>
  <c r="H664" i="3" s="1"/>
  <c r="F713" i="3"/>
  <c r="H713" i="3" s="1"/>
  <c r="F682" i="14"/>
  <c r="G682" i="14" s="1"/>
  <c r="F612" i="3"/>
  <c r="H612" i="3" s="1"/>
  <c r="F589" i="14"/>
  <c r="F148" i="3"/>
  <c r="F236" i="3"/>
  <c r="H236" i="3" s="1"/>
  <c r="F198" i="3"/>
  <c r="H198" i="3" s="1"/>
  <c r="F729" i="3"/>
  <c r="H729" i="3" s="1"/>
  <c r="F683" i="3"/>
  <c r="H683" i="3" s="1"/>
  <c r="F446" i="3"/>
  <c r="H446" i="3" s="1"/>
  <c r="F429" i="3"/>
  <c r="H429" i="3" s="1"/>
  <c r="F789" i="3"/>
  <c r="H789" i="3" s="1"/>
  <c r="F953" i="3"/>
  <c r="H953" i="3" s="1"/>
  <c r="F926" i="3"/>
  <c r="H926" i="3" s="1"/>
  <c r="F601" i="3"/>
  <c r="H601" i="3" s="1"/>
  <c r="F527" i="3"/>
  <c r="H527" i="3" s="1"/>
  <c r="F607" i="3"/>
  <c r="H607" i="3" s="1"/>
  <c r="F383" i="3"/>
  <c r="H383" i="3" s="1"/>
  <c r="F395" i="3"/>
  <c r="H395" i="3" s="1"/>
  <c r="F521" i="3"/>
  <c r="H521" i="3" s="1"/>
  <c r="F635" i="3"/>
  <c r="H635" i="3" s="1"/>
  <c r="F239" i="3"/>
  <c r="H239" i="3" s="1"/>
  <c r="F255" i="3"/>
  <c r="F726" i="3"/>
  <c r="H726" i="3" s="1"/>
  <c r="F785" i="3"/>
  <c r="H785" i="3" s="1"/>
  <c r="F1066" i="3"/>
  <c r="H1066" i="3" s="1"/>
  <c r="F342" i="3"/>
  <c r="H342" i="3" s="1"/>
  <c r="F732" i="3"/>
  <c r="H732" i="3" s="1"/>
  <c r="F811" i="3"/>
  <c r="G267" i="14"/>
  <c r="G262" i="14" s="1"/>
  <c r="G261" i="14" s="1"/>
  <c r="F469" i="3"/>
  <c r="H469" i="3" s="1"/>
  <c r="F73" i="3"/>
  <c r="F930" i="3"/>
  <c r="F558" i="3"/>
  <c r="H558" i="3" s="1"/>
  <c r="F1018" i="3"/>
  <c r="H1018" i="3" s="1"/>
  <c r="F902" i="3"/>
  <c r="H902" i="3" s="1"/>
  <c r="F545" i="3"/>
  <c r="H545" i="3" s="1"/>
  <c r="F490" i="3"/>
  <c r="H490" i="3" s="1"/>
  <c r="F285" i="3"/>
  <c r="H285" i="3" s="1"/>
  <c r="F212" i="3"/>
  <c r="H212" i="3" s="1"/>
  <c r="F1024" i="3"/>
  <c r="H1024" i="3" s="1"/>
  <c r="F916" i="3"/>
  <c r="H916" i="3" s="1"/>
  <c r="F766" i="3"/>
  <c r="H766" i="3" s="1"/>
  <c r="F615" i="3"/>
  <c r="F592" i="14"/>
  <c r="F621" i="3"/>
  <c r="H621" i="3" s="1"/>
  <c r="F265" i="3"/>
  <c r="H265" i="3" s="1"/>
  <c r="F53" i="3"/>
  <c r="H53" i="3" s="1"/>
  <c r="F463" i="3"/>
  <c r="H463" i="3" s="1"/>
  <c r="F33" i="3"/>
  <c r="H33" i="3" s="1"/>
  <c r="F625" i="3"/>
  <c r="H625" i="3" s="1"/>
  <c r="F334" i="3"/>
  <c r="H334" i="3" s="1"/>
  <c r="F323" i="14"/>
  <c r="G323" i="14" s="1"/>
  <c r="F107" i="3"/>
  <c r="H107" i="3" s="1"/>
  <c r="F889" i="3"/>
  <c r="H889" i="3" s="1"/>
  <c r="F686" i="3"/>
  <c r="H686" i="3" s="1"/>
  <c r="F339" i="3"/>
  <c r="H339" i="3" s="1"/>
  <c r="F981" i="3"/>
  <c r="H981" i="3" s="1"/>
  <c r="F939" i="14"/>
  <c r="F672" i="3"/>
  <c r="H672" i="3" s="1"/>
  <c r="F426" i="3"/>
  <c r="H426" i="3" s="1"/>
  <c r="F877" i="3"/>
  <c r="H877" i="3" s="1"/>
  <c r="F935" i="3"/>
  <c r="H935" i="3" s="1"/>
  <c r="F659" i="3"/>
  <c r="H659" i="3" s="1"/>
  <c r="F1045" i="3"/>
  <c r="H1045" i="3" s="1"/>
  <c r="F642" i="3"/>
  <c r="H642" i="3" s="1"/>
  <c r="F695" i="3"/>
  <c r="H695" i="3" s="1"/>
  <c r="F532" i="3"/>
  <c r="H532" i="3" s="1"/>
  <c r="F509" i="14"/>
  <c r="G509" i="14" s="1"/>
  <c r="G603" i="5"/>
  <c r="I603" i="5" s="1"/>
  <c r="G831" i="5"/>
  <c r="I831" i="5" s="1"/>
  <c r="G829" i="5"/>
  <c r="I829" i="5" s="1"/>
  <c r="G759" i="5"/>
  <c r="I759" i="5" s="1"/>
  <c r="G757" i="5"/>
  <c r="I757" i="5" s="1"/>
  <c r="G824" i="5"/>
  <c r="I824" i="5" s="1"/>
  <c r="G822" i="5"/>
  <c r="I822" i="5" s="1"/>
  <c r="G845" i="5"/>
  <c r="I845" i="5" s="1"/>
  <c r="G843" i="5"/>
  <c r="I843" i="5" s="1"/>
  <c r="G809" i="5"/>
  <c r="I809" i="5" s="1"/>
  <c r="G807" i="5"/>
  <c r="I807" i="5" s="1"/>
  <c r="G542" i="5"/>
  <c r="I542" i="5" s="1"/>
  <c r="G554" i="5"/>
  <c r="I554" i="5" s="1"/>
  <c r="G425" i="5"/>
  <c r="I425" i="5" s="1"/>
  <c r="G356" i="5"/>
  <c r="I356" i="5" s="1"/>
  <c r="G358" i="5"/>
  <c r="I358" i="5" s="1"/>
  <c r="G344" i="5"/>
  <c r="I344" i="5" s="1"/>
  <c r="G261" i="5"/>
  <c r="I261" i="5" s="1"/>
  <c r="G263" i="5"/>
  <c r="I263" i="5" s="1"/>
  <c r="G244" i="5"/>
  <c r="I244" i="5" s="1"/>
  <c r="G246" i="5"/>
  <c r="I246" i="5" s="1"/>
  <c r="G236" i="5"/>
  <c r="I236" i="5" s="1"/>
  <c r="G238" i="5"/>
  <c r="I238" i="5" s="1"/>
  <c r="G207" i="5"/>
  <c r="I207" i="5" s="1"/>
  <c r="G209" i="5"/>
  <c r="I209" i="5" s="1"/>
  <c r="G215" i="5"/>
  <c r="I215" i="5" s="1"/>
  <c r="G217" i="5"/>
  <c r="I217" i="5" s="1"/>
  <c r="G89" i="5"/>
  <c r="I89" i="5" s="1"/>
  <c r="G91" i="5"/>
  <c r="I91" i="5" s="1"/>
  <c r="G48" i="5"/>
  <c r="I48" i="5" s="1"/>
  <c r="G50" i="5"/>
  <c r="I50" i="5" s="1"/>
  <c r="G854" i="5"/>
  <c r="I854" i="5" s="1"/>
  <c r="G34" i="5"/>
  <c r="I34" i="5" s="1"/>
  <c r="F1054" i="3"/>
  <c r="H1054" i="3" s="1"/>
  <c r="F169" i="3"/>
  <c r="H169" i="3" s="1"/>
  <c r="G924" i="4"/>
  <c r="I924" i="4" s="1"/>
  <c r="G919" i="4"/>
  <c r="I919" i="4" s="1"/>
  <c r="I988" i="10"/>
  <c r="I989" i="10"/>
  <c r="I987" i="10"/>
  <c r="G534" i="11"/>
  <c r="G251" i="15" l="1"/>
  <c r="G250" i="15" s="1"/>
  <c r="G249" i="15" s="1"/>
  <c r="G248" i="15" s="1"/>
  <c r="G691" i="5"/>
  <c r="I691" i="5" s="1"/>
  <c r="G156" i="5"/>
  <c r="I156" i="5" s="1"/>
  <c r="I157" i="5"/>
  <c r="G190" i="5"/>
  <c r="I190" i="5" s="1"/>
  <c r="I191" i="5"/>
  <c r="G957" i="4"/>
  <c r="I957" i="4" s="1"/>
  <c r="I958" i="4"/>
  <c r="G486" i="5"/>
  <c r="I486" i="5" s="1"/>
  <c r="I483" i="5"/>
  <c r="G111" i="5"/>
  <c r="I111" i="5" s="1"/>
  <c r="I112" i="5"/>
  <c r="F13" i="3"/>
  <c r="H13" i="3" s="1"/>
  <c r="G37" i="6"/>
  <c r="I37" i="6" s="1"/>
  <c r="I38" i="6"/>
  <c r="G864" i="4"/>
  <c r="I864" i="4" s="1"/>
  <c r="I865" i="4"/>
  <c r="H801" i="5"/>
  <c r="G1141" i="4"/>
  <c r="I1141" i="4" s="1"/>
  <c r="I1142" i="4"/>
  <c r="G574" i="15"/>
  <c r="G573" i="15" s="1"/>
  <c r="G361" i="5"/>
  <c r="I361" i="5" s="1"/>
  <c r="I366" i="5"/>
  <c r="G371" i="4"/>
  <c r="I371" i="4" s="1"/>
  <c r="I372" i="4"/>
  <c r="G495" i="4"/>
  <c r="I495" i="4" s="1"/>
  <c r="I496" i="4"/>
  <c r="G835" i="5"/>
  <c r="I835" i="5" s="1"/>
  <c r="I836" i="5"/>
  <c r="G887" i="4"/>
  <c r="I887" i="4" s="1"/>
  <c r="I888" i="4"/>
  <c r="I13" i="6"/>
  <c r="G543" i="4"/>
  <c r="I543" i="4" s="1"/>
  <c r="F207" i="3"/>
  <c r="H207" i="3" s="1"/>
  <c r="G370" i="5"/>
  <c r="I370" i="5" s="1"/>
  <c r="I371" i="5"/>
  <c r="G482" i="5"/>
  <c r="I482" i="5" s="1"/>
  <c r="I479" i="5"/>
  <c r="G1176" i="4"/>
  <c r="I176" i="4"/>
  <c r="G773" i="4"/>
  <c r="I773" i="4" s="1"/>
  <c r="I774" i="4"/>
  <c r="G527" i="4"/>
  <c r="I527" i="4" s="1"/>
  <c r="I528" i="4"/>
  <c r="G1210" i="4"/>
  <c r="G1069" i="4"/>
  <c r="I1069" i="4" s="1"/>
  <c r="I1070" i="4"/>
  <c r="G693" i="5"/>
  <c r="G27" i="6"/>
  <c r="I28" i="6"/>
  <c r="G31" i="6"/>
  <c r="I31" i="6" s="1"/>
  <c r="I32" i="6"/>
  <c r="C87" i="1"/>
  <c r="G247" i="4"/>
  <c r="I247" i="4" s="1"/>
  <c r="I248" i="4"/>
  <c r="G654" i="15"/>
  <c r="G653" i="15" s="1"/>
  <c r="H654" i="15"/>
  <c r="H574" i="15"/>
  <c r="H573" i="15" s="1"/>
  <c r="I167" i="4"/>
  <c r="F390" i="3"/>
  <c r="H390" i="3" s="1"/>
  <c r="H391" i="3"/>
  <c r="F802" i="3"/>
  <c r="H802" i="3" s="1"/>
  <c r="H811" i="3"/>
  <c r="F147" i="3"/>
  <c r="H147" i="3" s="1"/>
  <c r="H148" i="3"/>
  <c r="F591" i="14"/>
  <c r="H615" i="3"/>
  <c r="F66" i="14"/>
  <c r="F57" i="14" s="1"/>
  <c r="H73" i="3"/>
  <c r="F774" i="3"/>
  <c r="H774" i="3" s="1"/>
  <c r="H775" i="3"/>
  <c r="F274" i="3"/>
  <c r="H274" i="3" s="1"/>
  <c r="H275" i="3"/>
  <c r="F349" i="3"/>
  <c r="H349" i="3" s="1"/>
  <c r="H350" i="3"/>
  <c r="H255" i="3"/>
  <c r="G251" i="3"/>
  <c r="F929" i="3"/>
  <c r="H929" i="3" s="1"/>
  <c r="H930" i="3"/>
  <c r="F1031" i="3"/>
  <c r="H1032" i="3"/>
  <c r="F157" i="3"/>
  <c r="H157" i="3" s="1"/>
  <c r="H158" i="3"/>
  <c r="C86" i="1"/>
  <c r="E86" i="1" s="1"/>
  <c r="E87" i="1"/>
  <c r="F588" i="3"/>
  <c r="H588" i="3" s="1"/>
  <c r="G654" i="16"/>
  <c r="G656" i="16"/>
  <c r="G655" i="16" s="1"/>
  <c r="H243" i="16"/>
  <c r="H192" i="16" s="1"/>
  <c r="H191" i="16" s="1"/>
  <c r="F333" i="3"/>
  <c r="H333" i="3" s="1"/>
  <c r="G1182" i="4"/>
  <c r="H303" i="15"/>
  <c r="G688" i="14"/>
  <c r="D75" i="12"/>
  <c r="D74" i="12" s="1"/>
  <c r="G987" i="10"/>
  <c r="G991" i="10" s="1"/>
  <c r="G804" i="4"/>
  <c r="F722" i="3"/>
  <c r="H722" i="3" s="1"/>
  <c r="F514" i="3"/>
  <c r="F676" i="3"/>
  <c r="H676" i="3" s="1"/>
  <c r="G1171" i="4"/>
  <c r="G748" i="10"/>
  <c r="G975" i="10" s="1"/>
  <c r="G977" i="10" s="1"/>
  <c r="H50" i="15"/>
  <c r="G28" i="4"/>
  <c r="H858" i="15"/>
  <c r="H854" i="15" s="1"/>
  <c r="H853" i="15" s="1"/>
  <c r="H852" i="15" s="1"/>
  <c r="H851" i="15" s="1"/>
  <c r="C75" i="12"/>
  <c r="C74" i="12" s="1"/>
  <c r="C149" i="12" s="1"/>
  <c r="C152" i="12" s="1"/>
  <c r="H502" i="16"/>
  <c r="H501" i="16" s="1"/>
  <c r="H500" i="16" s="1"/>
  <c r="H499" i="16" s="1"/>
  <c r="H498" i="16" s="1"/>
  <c r="H456" i="16" s="1"/>
  <c r="H666" i="16"/>
  <c r="H665" i="16" s="1"/>
  <c r="H670" i="16"/>
  <c r="H669" i="16" s="1"/>
  <c r="G320" i="4"/>
  <c r="G455" i="16"/>
  <c r="H936" i="16"/>
  <c r="H935" i="16" s="1"/>
  <c r="H934" i="16" s="1"/>
  <c r="H933" i="16" s="1"/>
  <c r="H932" i="16" s="1"/>
  <c r="H736" i="16"/>
  <c r="H735" i="16" s="1"/>
  <c r="H730" i="16" s="1"/>
  <c r="H729" i="16" s="1"/>
  <c r="H727" i="16" s="1"/>
  <c r="H704" i="16" s="1"/>
  <c r="F129" i="14"/>
  <c r="G133" i="14"/>
  <c r="G129" i="14" s="1"/>
  <c r="H674" i="15"/>
  <c r="H653" i="15" s="1"/>
  <c r="H188" i="16"/>
  <c r="H187" i="16" s="1"/>
  <c r="H186" i="16" s="1"/>
  <c r="H163" i="16" s="1"/>
  <c r="H162" i="16" s="1"/>
  <c r="G341" i="4"/>
  <c r="I341" i="4" s="1"/>
  <c r="H930" i="16"/>
  <c r="G204" i="4"/>
  <c r="G1188" i="4"/>
  <c r="G659" i="4"/>
  <c r="I659" i="4" s="1"/>
  <c r="H510" i="16"/>
  <c r="H509" i="16" s="1"/>
  <c r="H508" i="16" s="1"/>
  <c r="H507" i="16" s="1"/>
  <c r="H506" i="16" s="1"/>
  <c r="H505" i="16" s="1"/>
  <c r="G143" i="4"/>
  <c r="G162" i="4"/>
  <c r="G161" i="4" s="1"/>
  <c r="H255" i="16"/>
  <c r="H339" i="16"/>
  <c r="H662" i="16"/>
  <c r="H661" i="16" s="1"/>
  <c r="G151" i="14"/>
  <c r="G42" i="14"/>
  <c r="G41" i="14" s="1"/>
  <c r="H350" i="16"/>
  <c r="H288" i="16"/>
  <c r="H287" i="16" s="1"/>
  <c r="H278" i="16" s="1"/>
  <c r="H277" i="16" s="1"/>
  <c r="H276" i="16" s="1"/>
  <c r="H260" i="16" s="1"/>
  <c r="H107" i="15"/>
  <c r="H106" i="15" s="1"/>
  <c r="H105" i="15" s="1"/>
  <c r="H104" i="15" s="1"/>
  <c r="H352" i="16"/>
  <c r="H351" i="16" s="1"/>
  <c r="H346" i="16" s="1"/>
  <c r="H345" i="16" s="1"/>
  <c r="H354" i="16"/>
  <c r="G607" i="14"/>
  <c r="G586" i="14" s="1"/>
  <c r="G277" i="4"/>
  <c r="I277" i="4" s="1"/>
  <c r="H1128" i="15"/>
  <c r="G1128" i="15"/>
  <c r="H495" i="15"/>
  <c r="H494" i="15" s="1"/>
  <c r="G495" i="15"/>
  <c r="G494" i="15" s="1"/>
  <c r="F59" i="3"/>
  <c r="H59" i="3" s="1"/>
  <c r="H392" i="16"/>
  <c r="G175" i="4"/>
  <c r="G579" i="4"/>
  <c r="I579" i="4" s="1"/>
  <c r="H706" i="16"/>
  <c r="F371" i="14"/>
  <c r="F370" i="14" s="1"/>
  <c r="F41" i="14"/>
  <c r="H785" i="15"/>
  <c r="G1206" i="4"/>
  <c r="F136" i="3"/>
  <c r="H136" i="3" s="1"/>
  <c r="F150" i="14"/>
  <c r="E25" i="13"/>
  <c r="F332" i="14"/>
  <c r="G705" i="16"/>
  <c r="G192" i="16"/>
  <c r="G191" i="16" s="1"/>
  <c r="G161" i="16" s="1"/>
  <c r="F740" i="14"/>
  <c r="F739" i="14" s="1"/>
  <c r="H1149" i="15"/>
  <c r="F974" i="14"/>
  <c r="F973" i="14" s="1"/>
  <c r="H458" i="15"/>
  <c r="G458" i="15"/>
  <c r="H513" i="15"/>
  <c r="H512" i="15" s="1"/>
  <c r="G513" i="15"/>
  <c r="G512" i="15" s="1"/>
  <c r="H812" i="15"/>
  <c r="G812" i="15"/>
  <c r="H758" i="15"/>
  <c r="G758" i="15"/>
  <c r="G727" i="16"/>
  <c r="G728" i="16"/>
  <c r="H1033" i="15"/>
  <c r="G1033" i="15"/>
  <c r="H875" i="15"/>
  <c r="H874" i="15" s="1"/>
  <c r="H873" i="15" s="1"/>
  <c r="H872" i="15" s="1"/>
  <c r="G875" i="15"/>
  <c r="G874" i="15" s="1"/>
  <c r="G873" i="15" s="1"/>
  <c r="G872" i="15" s="1"/>
  <c r="H448" i="15"/>
  <c r="G448" i="15"/>
  <c r="G332" i="14"/>
  <c r="H462" i="15"/>
  <c r="G462" i="15"/>
  <c r="H521" i="15"/>
  <c r="G521" i="15"/>
  <c r="H727" i="15"/>
  <c r="H722" i="15" s="1"/>
  <c r="G727" i="15"/>
  <c r="G722" i="15" s="1"/>
  <c r="H1145" i="15"/>
  <c r="H331" i="15"/>
  <c r="G331" i="15"/>
  <c r="H208" i="15"/>
  <c r="H1131" i="15" s="1"/>
  <c r="G208" i="15"/>
  <c r="G1131" i="15" s="1"/>
  <c r="H219" i="15"/>
  <c r="H218" i="15" s="1"/>
  <c r="H217" i="15" s="1"/>
  <c r="H216" i="15" s="1"/>
  <c r="H215" i="15" s="1"/>
  <c r="G219" i="15"/>
  <c r="G218" i="15" s="1"/>
  <c r="G217" i="15" s="1"/>
  <c r="G216" i="15" s="1"/>
  <c r="G215" i="15" s="1"/>
  <c r="H324" i="15"/>
  <c r="G324" i="15"/>
  <c r="G932" i="16"/>
  <c r="G931" i="16"/>
  <c r="H335" i="16"/>
  <c r="H334" i="16" s="1"/>
  <c r="H333" i="16"/>
  <c r="H739" i="15"/>
  <c r="H738" i="15" s="1"/>
  <c r="H737" i="15" s="1"/>
  <c r="H736" i="15" s="1"/>
  <c r="H992" i="15"/>
  <c r="H991" i="15" s="1"/>
  <c r="G991" i="15"/>
  <c r="H844" i="15"/>
  <c r="H843" i="15" s="1"/>
  <c r="H842" i="15" s="1"/>
  <c r="G844" i="15"/>
  <c r="G843" i="15" s="1"/>
  <c r="G842" i="15" s="1"/>
  <c r="H1122" i="15"/>
  <c r="G74" i="16"/>
  <c r="G73" i="16"/>
  <c r="G27" i="16" s="1"/>
  <c r="H440" i="15"/>
  <c r="H439" i="15" s="1"/>
  <c r="H438" i="15" s="1"/>
  <c r="G440" i="15"/>
  <c r="G439" i="15" s="1"/>
  <c r="G438" i="15" s="1"/>
  <c r="G854" i="15"/>
  <c r="G853" i="15" s="1"/>
  <c r="G852" i="15" s="1"/>
  <c r="G851" i="15" s="1"/>
  <c r="H805" i="15"/>
  <c r="G805" i="15"/>
  <c r="H817" i="15"/>
  <c r="H816" i="15" s="1"/>
  <c r="H1154" i="15" s="1"/>
  <c r="G817" i="15"/>
  <c r="G816" i="15" s="1"/>
  <c r="G1154" i="15" s="1"/>
  <c r="H78" i="16"/>
  <c r="H77" i="16" s="1"/>
  <c r="H76" i="16" s="1"/>
  <c r="H75" i="16" s="1"/>
  <c r="H80" i="16"/>
  <c r="G346" i="16"/>
  <c r="G345" i="16" s="1"/>
  <c r="G344" i="16"/>
  <c r="G333" i="16"/>
  <c r="G335" i="16"/>
  <c r="G334" i="16" s="1"/>
  <c r="H293" i="15"/>
  <c r="G293" i="15"/>
  <c r="G639" i="16"/>
  <c r="G638" i="16" s="1"/>
  <c r="G637" i="16"/>
  <c r="G1149" i="15"/>
  <c r="H796" i="15"/>
  <c r="H795" i="15" s="1"/>
  <c r="G795" i="15"/>
  <c r="H946" i="15"/>
  <c r="H945" i="15" s="1"/>
  <c r="G945" i="15"/>
  <c r="H942" i="15"/>
  <c r="H941" i="15" s="1"/>
  <c r="G941" i="15"/>
  <c r="H949" i="15"/>
  <c r="G949" i="15"/>
  <c r="H978" i="15"/>
  <c r="H977" i="15" s="1"/>
  <c r="G978" i="15"/>
  <c r="G977" i="15" s="1"/>
  <c r="H621" i="15"/>
  <c r="H620" i="15" s="1"/>
  <c r="G621" i="15"/>
  <c r="G620" i="15" s="1"/>
  <c r="F938" i="14"/>
  <c r="F482" i="14"/>
  <c r="G482" i="14"/>
  <c r="G996" i="14"/>
  <c r="G995" i="14" s="1"/>
  <c r="F996" i="14"/>
  <c r="F995" i="14" s="1"/>
  <c r="F201" i="14"/>
  <c r="F200" i="14"/>
  <c r="G638" i="14"/>
  <c r="F638" i="14"/>
  <c r="G705" i="15"/>
  <c r="H176" i="15"/>
  <c r="H175" i="15" s="1"/>
  <c r="H174" i="15" s="1"/>
  <c r="G176" i="15"/>
  <c r="G175" i="15" s="1"/>
  <c r="G174" i="15" s="1"/>
  <c r="H163" i="15"/>
  <c r="H162" i="15" s="1"/>
  <c r="H161" i="15" s="1"/>
  <c r="G163" i="15"/>
  <c r="G162" i="15" s="1"/>
  <c r="G161" i="15" s="1"/>
  <c r="H1096" i="15"/>
  <c r="H1095" i="15" s="1"/>
  <c r="H1094" i="15" s="1"/>
  <c r="G1096" i="15"/>
  <c r="G1095" i="15" s="1"/>
  <c r="G1094" i="15" s="1"/>
  <c r="H1066" i="15"/>
  <c r="H1065" i="15" s="1"/>
  <c r="H1064" i="15" s="1"/>
  <c r="G1066" i="15"/>
  <c r="G1065" i="15" s="1"/>
  <c r="G1064" i="15" s="1"/>
  <c r="H1040" i="15"/>
  <c r="G1040" i="15"/>
  <c r="H1021" i="15"/>
  <c r="H1020" i="15" s="1"/>
  <c r="G1021" i="15"/>
  <c r="G1020" i="15" s="1"/>
  <c r="H831" i="15"/>
  <c r="H830" i="15" s="1"/>
  <c r="G831" i="15"/>
  <c r="G830" i="15" s="1"/>
  <c r="H823" i="15"/>
  <c r="H822" i="15" s="1"/>
  <c r="G823" i="15"/>
  <c r="G822" i="15" s="1"/>
  <c r="H762" i="15"/>
  <c r="G762" i="15"/>
  <c r="H748" i="15"/>
  <c r="H747" i="15" s="1"/>
  <c r="G748" i="15"/>
  <c r="G747" i="15" s="1"/>
  <c r="H427" i="15"/>
  <c r="H426" i="15" s="1"/>
  <c r="G427" i="15"/>
  <c r="G426" i="15" s="1"/>
  <c r="G796" i="14"/>
  <c r="G795" i="14" s="1"/>
  <c r="F796" i="14"/>
  <c r="F795" i="14" s="1"/>
  <c r="H372" i="15"/>
  <c r="H371" i="15" s="1"/>
  <c r="G372" i="15"/>
  <c r="G371" i="15" s="1"/>
  <c r="G777" i="14"/>
  <c r="G768" i="14" s="1"/>
  <c r="F777" i="14"/>
  <c r="F768" i="14" s="1"/>
  <c r="H345" i="15"/>
  <c r="G345" i="15"/>
  <c r="H281" i="15"/>
  <c r="G281" i="15"/>
  <c r="H143" i="15"/>
  <c r="H142" i="15" s="1"/>
  <c r="H141" i="15" s="1"/>
  <c r="G143" i="15"/>
  <c r="G142" i="15" s="1"/>
  <c r="G141" i="15" s="1"/>
  <c r="G232" i="14"/>
  <c r="F232" i="14"/>
  <c r="G106" i="15"/>
  <c r="G105" i="15" s="1"/>
  <c r="G104" i="15" s="1"/>
  <c r="H34" i="15"/>
  <c r="G34" i="15"/>
  <c r="G33" i="15" s="1"/>
  <c r="G32" i="15" s="1"/>
  <c r="G940" i="4"/>
  <c r="G408" i="5"/>
  <c r="G856" i="4"/>
  <c r="I856" i="4" s="1"/>
  <c r="G869" i="5"/>
  <c r="G267" i="5"/>
  <c r="I267" i="5" s="1"/>
  <c r="G602" i="5"/>
  <c r="I602" i="5" s="1"/>
  <c r="G87" i="4"/>
  <c r="I87" i="4" s="1"/>
  <c r="G738" i="4"/>
  <c r="I738" i="4" s="1"/>
  <c r="G191" i="4"/>
  <c r="I191" i="4" s="1"/>
  <c r="G989" i="4"/>
  <c r="G215" i="4"/>
  <c r="I215" i="4" s="1"/>
  <c r="G426" i="4"/>
  <c r="I426" i="4" s="1"/>
  <c r="G246" i="4"/>
  <c r="I246" i="4" s="1"/>
  <c r="H1140" i="15"/>
  <c r="G1140" i="15"/>
  <c r="G1046" i="4"/>
  <c r="I1046" i="4" s="1"/>
  <c r="G439" i="4"/>
  <c r="I439" i="4" s="1"/>
  <c r="G1087" i="4"/>
  <c r="I1087" i="4" s="1"/>
  <c r="G12" i="4"/>
  <c r="I12" i="4" s="1"/>
  <c r="G1152" i="4"/>
  <c r="I1152" i="4" s="1"/>
  <c r="G494" i="4"/>
  <c r="I494" i="4" s="1"/>
  <c r="G105" i="4"/>
  <c r="I105" i="4" s="1"/>
  <c r="G877" i="4"/>
  <c r="G512" i="4"/>
  <c r="I512" i="4" s="1"/>
  <c r="G1113" i="4"/>
  <c r="I1113" i="4" s="1"/>
  <c r="G1200" i="4"/>
  <c r="G850" i="4"/>
  <c r="G1122" i="4"/>
  <c r="I1122" i="4" s="1"/>
  <c r="G555" i="4"/>
  <c r="I555" i="4" s="1"/>
  <c r="G526" i="4"/>
  <c r="I526" i="4" s="1"/>
  <c r="G1140" i="4"/>
  <c r="I1140" i="4" s="1"/>
  <c r="G1075" i="4"/>
  <c r="I1075" i="4" s="1"/>
  <c r="G520" i="4"/>
  <c r="I520" i="4" s="1"/>
  <c r="G913" i="4"/>
  <c r="I913" i="4" s="1"/>
  <c r="G720" i="4"/>
  <c r="I720" i="4" s="1"/>
  <c r="G447" i="4"/>
  <c r="I447" i="4" s="1"/>
  <c r="G1032" i="4"/>
  <c r="I1032" i="4" s="1"/>
  <c r="G763" i="4"/>
  <c r="I763" i="4" s="1"/>
  <c r="G1212" i="4"/>
  <c r="G626" i="4"/>
  <c r="I626" i="4" s="1"/>
  <c r="G847" i="5"/>
  <c r="G167" i="5"/>
  <c r="I167" i="5" s="1"/>
  <c r="G542" i="4"/>
  <c r="I542" i="4" s="1"/>
  <c r="G905" i="4"/>
  <c r="I905" i="4" s="1"/>
  <c r="G754" i="4"/>
  <c r="I754" i="4" s="1"/>
  <c r="G320" i="5"/>
  <c r="I320" i="5" s="1"/>
  <c r="G767" i="5"/>
  <c r="G457" i="4"/>
  <c r="I457" i="4" s="1"/>
  <c r="G853" i="5"/>
  <c r="I853" i="5" s="1"/>
  <c r="G214" i="5"/>
  <c r="I214" i="5" s="1"/>
  <c r="G235" i="5"/>
  <c r="I235" i="5" s="1"/>
  <c r="G260" i="5"/>
  <c r="G541" i="5"/>
  <c r="I541" i="5" s="1"/>
  <c r="G954" i="5"/>
  <c r="I954" i="5" s="1"/>
  <c r="G433" i="5"/>
  <c r="I433" i="5" s="1"/>
  <c r="G942" i="5"/>
  <c r="I942" i="5" s="1"/>
  <c r="G339" i="5"/>
  <c r="I339" i="5" s="1"/>
  <c r="G821" i="5"/>
  <c r="I821" i="5" s="1"/>
  <c r="G828" i="5"/>
  <c r="I828" i="5" s="1"/>
  <c r="G915" i="5"/>
  <c r="I915" i="5" s="1"/>
  <c r="G106" i="5"/>
  <c r="I106" i="5" s="1"/>
  <c r="G860" i="5"/>
  <c r="I860" i="5" s="1"/>
  <c r="G355" i="5"/>
  <c r="G553" i="5"/>
  <c r="I553" i="5" s="1"/>
  <c r="G806" i="5"/>
  <c r="I806" i="5" s="1"/>
  <c r="G842" i="5"/>
  <c r="I842" i="5" s="1"/>
  <c r="G750" i="5"/>
  <c r="I750" i="5" s="1"/>
  <c r="G971" i="5"/>
  <c r="I971" i="5" s="1"/>
  <c r="G675" i="5"/>
  <c r="I675" i="5" s="1"/>
  <c r="G97" i="5"/>
  <c r="I97" i="5" s="1"/>
  <c r="G984" i="5"/>
  <c r="I984" i="5" s="1"/>
  <c r="G985" i="5"/>
  <c r="I985" i="5" s="1"/>
  <c r="G296" i="5"/>
  <c r="I296" i="5" s="1"/>
  <c r="G135" i="4"/>
  <c r="I135" i="4" s="1"/>
  <c r="G718" i="5"/>
  <c r="G952" i="5"/>
  <c r="I952" i="5" s="1"/>
  <c r="G948" i="5"/>
  <c r="I948" i="5" s="1"/>
  <c r="G464" i="5"/>
  <c r="I464" i="5" s="1"/>
  <c r="G395" i="5"/>
  <c r="I395" i="5" s="1"/>
  <c r="G81" i="5"/>
  <c r="I81" i="5" s="1"/>
  <c r="G978" i="5"/>
  <c r="I978" i="5" s="1"/>
  <c r="G21" i="5"/>
  <c r="I21" i="5" s="1"/>
  <c r="G360" i="5"/>
  <c r="I360" i="5" s="1"/>
  <c r="G962" i="5"/>
  <c r="I962" i="5" s="1"/>
  <c r="G71" i="5"/>
  <c r="I71" i="5" s="1"/>
  <c r="G88" i="5"/>
  <c r="I88" i="5" s="1"/>
  <c r="G206" i="5"/>
  <c r="I206" i="5" s="1"/>
  <c r="G243" i="5"/>
  <c r="I243" i="5" s="1"/>
  <c r="G282" i="5"/>
  <c r="I282" i="5" s="1"/>
  <c r="G474" i="5"/>
  <c r="I474" i="5" s="1"/>
  <c r="G64" i="5"/>
  <c r="I64" i="5" s="1"/>
  <c r="G935" i="5"/>
  <c r="I935" i="5" s="1"/>
  <c r="G904" i="5"/>
  <c r="I904" i="5" s="1"/>
  <c r="G515" i="5"/>
  <c r="I515" i="5" s="1"/>
  <c r="G488" i="5"/>
  <c r="I488" i="5" s="1"/>
  <c r="G359" i="5"/>
  <c r="I359" i="5" s="1"/>
  <c r="G155" i="5"/>
  <c r="I155" i="5" s="1"/>
  <c r="G655" i="5"/>
  <c r="I655" i="5" s="1"/>
  <c r="G504" i="5"/>
  <c r="I504" i="5" s="1"/>
  <c r="F952" i="3"/>
  <c r="H952" i="3" s="1"/>
  <c r="F480" i="3"/>
  <c r="H480" i="3" s="1"/>
  <c r="F712" i="3"/>
  <c r="H712" i="3" s="1"/>
  <c r="F694" i="3"/>
  <c r="H694" i="3" s="1"/>
  <c r="F1044" i="3"/>
  <c r="H1044" i="3" s="1"/>
  <c r="F32" i="3"/>
  <c r="H32" i="3" s="1"/>
  <c r="F765" i="3"/>
  <c r="H765" i="3" s="1"/>
  <c r="F1023" i="3"/>
  <c r="H1023" i="3" s="1"/>
  <c r="F284" i="3"/>
  <c r="H284" i="3" s="1"/>
  <c r="F1017" i="3"/>
  <c r="H1017" i="3" s="1"/>
  <c r="F1065" i="3"/>
  <c r="H1065" i="3" s="1"/>
  <c r="F631" i="3"/>
  <c r="H631" i="3" s="1"/>
  <c r="F394" i="3"/>
  <c r="H394" i="3" s="1"/>
  <c r="F788" i="3"/>
  <c r="H788" i="3" s="1"/>
  <c r="F386" i="3"/>
  <c r="H386" i="3" s="1"/>
  <c r="F753" i="3"/>
  <c r="H753" i="3" s="1"/>
  <c r="F832" i="3"/>
  <c r="H832" i="3" s="1"/>
  <c r="F425" i="3"/>
  <c r="H425" i="3" s="1"/>
  <c r="F588" i="14"/>
  <c r="F611" i="3"/>
  <c r="H611" i="3" s="1"/>
  <c r="F168" i="3"/>
  <c r="H168" i="3" s="1"/>
  <c r="F439" i="3"/>
  <c r="H439" i="3" s="1"/>
  <c r="F232" i="3"/>
  <c r="H232" i="3" s="1"/>
  <c r="F541" i="3"/>
  <c r="H541" i="3" s="1"/>
  <c r="F508" i="14"/>
  <c r="F531" i="3"/>
  <c r="H531" i="3" s="1"/>
  <c r="F638" i="3"/>
  <c r="H638" i="3" s="1"/>
  <c r="F647" i="3"/>
  <c r="H647" i="3" s="1"/>
  <c r="F888" i="3"/>
  <c r="H888" i="3" s="1"/>
  <c r="F106" i="3"/>
  <c r="H106" i="3" s="1"/>
  <c r="F99" i="14"/>
  <c r="F462" i="3"/>
  <c r="H462" i="3" s="1"/>
  <c r="F461" i="3"/>
  <c r="H461" i="3" s="1"/>
  <c r="F264" i="3"/>
  <c r="H264" i="3" s="1"/>
  <c r="F915" i="3"/>
  <c r="H915" i="3" s="1"/>
  <c r="F489" i="3"/>
  <c r="H489" i="3" s="1"/>
  <c r="F901" i="3"/>
  <c r="H901" i="3" s="1"/>
  <c r="F468" i="3"/>
  <c r="H468" i="3" s="1"/>
  <c r="F784" i="3"/>
  <c r="H784" i="3" s="1"/>
  <c r="F251" i="3"/>
  <c r="F43" i="3"/>
  <c r="H43" i="3" s="1"/>
  <c r="F382" i="3"/>
  <c r="H382" i="3" s="1"/>
  <c r="F925" i="3"/>
  <c r="H925" i="3" s="1"/>
  <c r="F624" i="3"/>
  <c r="H624" i="3" s="1"/>
  <c r="G33" i="5"/>
  <c r="I33" i="5" s="1"/>
  <c r="G337" i="5"/>
  <c r="I337" i="5" s="1"/>
  <c r="G47" i="5"/>
  <c r="I47" i="5" s="1"/>
  <c r="G13" i="5"/>
  <c r="F1053" i="3"/>
  <c r="H1053" i="3" s="1"/>
  <c r="I981" i="10"/>
  <c r="G1197" i="4"/>
  <c r="G918" i="4"/>
  <c r="I918" i="4" s="1"/>
  <c r="F773" i="3" l="1"/>
  <c r="H773" i="3" s="1"/>
  <c r="F12" i="3"/>
  <c r="H12" i="3" s="1"/>
  <c r="G66" i="14"/>
  <c r="G1165" i="4"/>
  <c r="I1165" i="4" s="1"/>
  <c r="G956" i="4"/>
  <c r="I956" i="4" s="1"/>
  <c r="I989" i="4"/>
  <c r="G319" i="4"/>
  <c r="I319" i="4" s="1"/>
  <c r="I320" i="4"/>
  <c r="G692" i="5"/>
  <c r="I692" i="5" s="1"/>
  <c r="I693" i="5"/>
  <c r="G939" i="4"/>
  <c r="I939" i="4" s="1"/>
  <c r="I940" i="4"/>
  <c r="G868" i="5"/>
  <c r="I868" i="5" s="1"/>
  <c r="I869" i="5"/>
  <c r="G174" i="4"/>
  <c r="I174" i="4" s="1"/>
  <c r="I175" i="4"/>
  <c r="G142" i="4"/>
  <c r="I142" i="4" s="1"/>
  <c r="I143" i="4"/>
  <c r="G203" i="4"/>
  <c r="I203" i="4" s="1"/>
  <c r="I204" i="4"/>
  <c r="G403" i="5"/>
  <c r="I408" i="5"/>
  <c r="H800" i="5"/>
  <c r="G247" i="5"/>
  <c r="I247" i="5" s="1"/>
  <c r="I260" i="5"/>
  <c r="G846" i="5"/>
  <c r="I846" i="5" s="1"/>
  <c r="I847" i="5"/>
  <c r="G834" i="5"/>
  <c r="I834" i="5" s="1"/>
  <c r="G711" i="5"/>
  <c r="I718" i="5"/>
  <c r="G350" i="5"/>
  <c r="I350" i="5" s="1"/>
  <c r="I355" i="5"/>
  <c r="G1211" i="4"/>
  <c r="I850" i="4"/>
  <c r="G876" i="4"/>
  <c r="I876" i="4" s="1"/>
  <c r="I877" i="4"/>
  <c r="G26" i="6"/>
  <c r="I27" i="6"/>
  <c r="G766" i="5"/>
  <c r="I767" i="5"/>
  <c r="G803" i="4"/>
  <c r="I803" i="4" s="1"/>
  <c r="I804" i="4"/>
  <c r="I163" i="4"/>
  <c r="G27" i="4"/>
  <c r="I27" i="4" s="1"/>
  <c r="I28" i="4"/>
  <c r="F506" i="3"/>
  <c r="H506" i="3" s="1"/>
  <c r="H514" i="3"/>
  <c r="F1030" i="3"/>
  <c r="H1030" i="3" s="1"/>
  <c r="H1031" i="3"/>
  <c r="F269" i="3"/>
  <c r="H269" i="3" s="1"/>
  <c r="G250" i="3"/>
  <c r="H251" i="3"/>
  <c r="G218" i="5"/>
  <c r="I218" i="5" s="1"/>
  <c r="H654" i="16"/>
  <c r="H656" i="16"/>
  <c r="H655" i="16" s="1"/>
  <c r="H33" i="15"/>
  <c r="H32" i="15" s="1"/>
  <c r="H31" i="15" s="1"/>
  <c r="D149" i="12"/>
  <c r="E52" i="13" s="1"/>
  <c r="F74" i="12"/>
  <c r="G197" i="5"/>
  <c r="I197" i="5" s="1"/>
  <c r="G798" i="4"/>
  <c r="I798" i="4" s="1"/>
  <c r="E74" i="12"/>
  <c r="E76" i="12" s="1"/>
  <c r="D52" i="13"/>
  <c r="H728" i="16"/>
  <c r="H616" i="16"/>
  <c r="H516" i="16" s="1"/>
  <c r="H931" i="16"/>
  <c r="H161" i="16"/>
  <c r="H455" i="16"/>
  <c r="H344" i="16"/>
  <c r="H313" i="16" s="1"/>
  <c r="G1208" i="4"/>
  <c r="G976" i="15"/>
  <c r="G970" i="15" s="1"/>
  <c r="H1125" i="15"/>
  <c r="G704" i="15"/>
  <c r="G703" i="15" s="1"/>
  <c r="G702" i="15" s="1"/>
  <c r="G1125" i="15"/>
  <c r="G344" i="15"/>
  <c r="G343" i="15" s="1"/>
  <c r="G342" i="15" s="1"/>
  <c r="G520" i="15"/>
  <c r="G511" i="15" s="1"/>
  <c r="G493" i="15" s="1"/>
  <c r="G492" i="15" s="1"/>
  <c r="G1114" i="15"/>
  <c r="H1108" i="15"/>
  <c r="J1109" i="15" s="1"/>
  <c r="H344" i="15"/>
  <c r="H520" i="15"/>
  <c r="H511" i="15" s="1"/>
  <c r="H493" i="15" s="1"/>
  <c r="H492" i="15" s="1"/>
  <c r="H1114" i="15"/>
  <c r="G1108" i="15"/>
  <c r="I1109" i="15" s="1"/>
  <c r="G57" i="14"/>
  <c r="G40" i="14" s="1"/>
  <c r="G39" i="14" s="1"/>
  <c r="E14" i="13" s="1"/>
  <c r="H447" i="15"/>
  <c r="G447" i="15"/>
  <c r="F530" i="3"/>
  <c r="H530" i="3" s="1"/>
  <c r="G511" i="4"/>
  <c r="I511" i="4" s="1"/>
  <c r="G371" i="14"/>
  <c r="G370" i="14" s="1"/>
  <c r="G616" i="16"/>
  <c r="G516" i="16" s="1"/>
  <c r="G340" i="4"/>
  <c r="G150" i="14"/>
  <c r="G207" i="15"/>
  <c r="G206" i="15" s="1"/>
  <c r="G190" i="15" s="1"/>
  <c r="H207" i="15"/>
  <c r="H206" i="15" s="1"/>
  <c r="H190" i="15" s="1"/>
  <c r="G31" i="15"/>
  <c r="G704" i="16"/>
  <c r="G740" i="14"/>
  <c r="G739" i="14" s="1"/>
  <c r="G280" i="15"/>
  <c r="G279" i="15" s="1"/>
  <c r="G278" i="15" s="1"/>
  <c r="H784" i="15"/>
  <c r="H783" i="15" s="1"/>
  <c r="H782" i="15" s="1"/>
  <c r="G457" i="15"/>
  <c r="G1119" i="15"/>
  <c r="G784" i="15"/>
  <c r="G783" i="15" s="1"/>
  <c r="G782" i="15" s="1"/>
  <c r="G140" i="14"/>
  <c r="F140" i="14"/>
  <c r="G974" i="14"/>
  <c r="G973" i="14" s="1"/>
  <c r="H757" i="15"/>
  <c r="H746" i="15" s="1"/>
  <c r="G1032" i="15"/>
  <c r="G1019" i="15" s="1"/>
  <c r="H280" i="15"/>
  <c r="H279" i="15" s="1"/>
  <c r="H278" i="15" s="1"/>
  <c r="G549" i="15"/>
  <c r="G548" i="15" s="1"/>
  <c r="G547" i="15" s="1"/>
  <c r="H549" i="15"/>
  <c r="H548" i="15" s="1"/>
  <c r="H547" i="15" s="1"/>
  <c r="H323" i="15"/>
  <c r="H322" i="15" s="1"/>
  <c r="H321" i="15" s="1"/>
  <c r="H457" i="15"/>
  <c r="H1119" i="15"/>
  <c r="H1063" i="15"/>
  <c r="H1062" i="15" s="1"/>
  <c r="H160" i="15"/>
  <c r="H976" i="15"/>
  <c r="H970" i="15" s="1"/>
  <c r="H415" i="15"/>
  <c r="H1032" i="15"/>
  <c r="H1019" i="15" s="1"/>
  <c r="G619" i="15"/>
  <c r="G618" i="15" s="1"/>
  <c r="H936" i="15"/>
  <c r="H906" i="15" s="1"/>
  <c r="H74" i="16"/>
  <c r="H73" i="16"/>
  <c r="H27" i="16" s="1"/>
  <c r="F40" i="14"/>
  <c r="F39" i="14" s="1"/>
  <c r="D14" i="13" s="1"/>
  <c r="G415" i="15"/>
  <c r="G821" i="15"/>
  <c r="G757" i="15"/>
  <c r="G746" i="15" s="1"/>
  <c r="G1063" i="15"/>
  <c r="G160" i="15"/>
  <c r="G313" i="16"/>
  <c r="G160" i="16" s="1"/>
  <c r="G323" i="15"/>
  <c r="G322" i="15" s="1"/>
  <c r="G321" i="15" s="1"/>
  <c r="H619" i="15"/>
  <c r="H618" i="15" s="1"/>
  <c r="G936" i="15"/>
  <c r="G906" i="15" s="1"/>
  <c r="G767" i="14"/>
  <c r="G766" i="14" s="1"/>
  <c r="E39" i="13" s="1"/>
  <c r="F767" i="14"/>
  <c r="F766" i="14" s="1"/>
  <c r="D39" i="13" s="1"/>
  <c r="G750" i="14"/>
  <c r="F750" i="14"/>
  <c r="G864" i="14"/>
  <c r="G863" i="14" s="1"/>
  <c r="G862" i="14" s="1"/>
  <c r="F864" i="14"/>
  <c r="F863" i="14" s="1"/>
  <c r="F862" i="14" s="1"/>
  <c r="G878" i="14"/>
  <c r="G877" i="14" s="1"/>
  <c r="F878" i="14"/>
  <c r="F877" i="14" s="1"/>
  <c r="F614" i="14"/>
  <c r="G225" i="14"/>
  <c r="G224" i="14" s="1"/>
  <c r="G223" i="14" s="1"/>
  <c r="F225" i="14"/>
  <c r="F224" i="14" s="1"/>
  <c r="F223" i="14" s="1"/>
  <c r="G366" i="14"/>
  <c r="F366" i="14"/>
  <c r="G553" i="14"/>
  <c r="F553" i="14"/>
  <c r="F607" i="14"/>
  <c r="G731" i="14"/>
  <c r="G730" i="14" s="1"/>
  <c r="G729" i="14" s="1"/>
  <c r="F731" i="14"/>
  <c r="F730" i="14" s="1"/>
  <c r="F729" i="14" s="1"/>
  <c r="G319" i="14"/>
  <c r="G318" i="14" s="1"/>
  <c r="G317" i="14" s="1"/>
  <c r="E28" i="13" s="1"/>
  <c r="F319" i="14"/>
  <c r="F318" i="14" s="1"/>
  <c r="F317" i="14" s="1"/>
  <c r="D28" i="13" s="1"/>
  <c r="G458" i="14"/>
  <c r="F458" i="14"/>
  <c r="G960" i="14"/>
  <c r="G959" i="14" s="1"/>
  <c r="F960" i="14"/>
  <c r="F959" i="14" s="1"/>
  <c r="G987" i="14"/>
  <c r="G986" i="14" s="1"/>
  <c r="G985" i="14" s="1"/>
  <c r="F987" i="14"/>
  <c r="F986" i="14" s="1"/>
  <c r="F985" i="14" s="1"/>
  <c r="G913" i="14"/>
  <c r="G912" i="14" s="1"/>
  <c r="G911" i="14" s="1"/>
  <c r="E44" i="13" s="1"/>
  <c r="F913" i="14"/>
  <c r="F912" i="14" s="1"/>
  <c r="F911" i="14" s="1"/>
  <c r="D44" i="13" s="1"/>
  <c r="G200" i="14"/>
  <c r="G201" i="14"/>
  <c r="G517" i="14"/>
  <c r="F517" i="14"/>
  <c r="G1008" i="14"/>
  <c r="G1007" i="14" s="1"/>
  <c r="G994" i="14" s="1"/>
  <c r="F1008" i="14"/>
  <c r="F1007" i="14" s="1"/>
  <c r="F994" i="14" s="1"/>
  <c r="G678" i="14"/>
  <c r="F678" i="14"/>
  <c r="G257" i="14"/>
  <c r="G256" i="14" s="1"/>
  <c r="G255" i="14" s="1"/>
  <c r="F257" i="14"/>
  <c r="F256" i="14" s="1"/>
  <c r="F255" i="14" s="1"/>
  <c r="D24" i="13" s="1"/>
  <c r="F439" i="14"/>
  <c r="F440" i="14"/>
  <c r="F587" i="14"/>
  <c r="G637" i="14"/>
  <c r="F637" i="14"/>
  <c r="G719" i="14"/>
  <c r="G711" i="14" s="1"/>
  <c r="G710" i="14" s="1"/>
  <c r="F719" i="14"/>
  <c r="F711" i="14" s="1"/>
  <c r="F710" i="14" s="1"/>
  <c r="G374" i="14"/>
  <c r="F374" i="14"/>
  <c r="F600" i="14"/>
  <c r="F403" i="14"/>
  <c r="F402" i="14" s="1"/>
  <c r="G888" i="14"/>
  <c r="F888" i="14"/>
  <c r="G508" i="14"/>
  <c r="G507" i="14" s="1"/>
  <c r="F507" i="14"/>
  <c r="G161" i="14"/>
  <c r="G160" i="14" s="1"/>
  <c r="G159" i="14" s="1"/>
  <c r="F161" i="14"/>
  <c r="F160" i="14" s="1"/>
  <c r="F159" i="14" s="1"/>
  <c r="G660" i="14"/>
  <c r="G655" i="14" s="1"/>
  <c r="F660" i="14"/>
  <c r="F655" i="14" s="1"/>
  <c r="G403" i="14"/>
  <c r="G402" i="14" s="1"/>
  <c r="H704" i="15"/>
  <c r="H703" i="15" s="1"/>
  <c r="H702" i="15" s="1"/>
  <c r="H705" i="15"/>
  <c r="G275" i="14"/>
  <c r="G274" i="14" s="1"/>
  <c r="G273" i="14" s="1"/>
  <c r="E26" i="13" s="1"/>
  <c r="F275" i="14"/>
  <c r="F274" i="14" s="1"/>
  <c r="G244" i="14"/>
  <c r="G243" i="14" s="1"/>
  <c r="G242" i="14" s="1"/>
  <c r="F244" i="14"/>
  <c r="F243" i="14" s="1"/>
  <c r="F242" i="14" s="1"/>
  <c r="G98" i="14"/>
  <c r="G97" i="14" s="1"/>
  <c r="E15" i="13" s="1"/>
  <c r="F98" i="14"/>
  <c r="F97" i="14" s="1"/>
  <c r="D15" i="13" s="1"/>
  <c r="G30" i="14"/>
  <c r="G29" i="14" s="1"/>
  <c r="G28" i="14" s="1"/>
  <c r="E13" i="13" s="1"/>
  <c r="F30" i="14"/>
  <c r="F29" i="14" s="1"/>
  <c r="F28" i="14" s="1"/>
  <c r="G465" i="14"/>
  <c r="F465" i="14"/>
  <c r="G1074" i="4"/>
  <c r="I1074" i="4" s="1"/>
  <c r="G446" i="14"/>
  <c r="G445" i="14" s="1"/>
  <c r="F446" i="14"/>
  <c r="F445" i="14" s="1"/>
  <c r="H821" i="15"/>
  <c r="G966" i="14"/>
  <c r="G965" i="14" s="1"/>
  <c r="F966" i="14"/>
  <c r="F965" i="14" s="1"/>
  <c r="G754" i="14"/>
  <c r="F754" i="14"/>
  <c r="G851" i="14"/>
  <c r="G850" i="14" s="1"/>
  <c r="F851" i="14"/>
  <c r="F850" i="14" s="1"/>
  <c r="G601" i="5"/>
  <c r="G160" i="4"/>
  <c r="G85" i="5"/>
  <c r="I85" i="5" s="1"/>
  <c r="G266" i="5"/>
  <c r="G745" i="5"/>
  <c r="G319" i="5"/>
  <c r="G166" i="5"/>
  <c r="I166" i="5" s="1"/>
  <c r="G719" i="4"/>
  <c r="I719" i="4" s="1"/>
  <c r="G525" i="4"/>
  <c r="I525" i="4" s="1"/>
  <c r="G1112" i="4"/>
  <c r="I1112" i="4" s="1"/>
  <c r="G11" i="4"/>
  <c r="G438" i="4"/>
  <c r="I438" i="4" s="1"/>
  <c r="G762" i="4"/>
  <c r="I762" i="4" s="1"/>
  <c r="G886" i="4"/>
  <c r="I886" i="4" s="1"/>
  <c r="G1031" i="4"/>
  <c r="I1031" i="4" s="1"/>
  <c r="G214" i="4"/>
  <c r="G190" i="4"/>
  <c r="I190" i="4" s="1"/>
  <c r="G625" i="4"/>
  <c r="I625" i="4" s="1"/>
  <c r="G141" i="4"/>
  <c r="I141" i="4" s="1"/>
  <c r="H1134" i="15"/>
  <c r="G1134" i="15"/>
  <c r="G1213" i="4"/>
  <c r="G1121" i="4"/>
  <c r="I1121" i="4" s="1"/>
  <c r="G1209" i="4"/>
  <c r="G104" i="4"/>
  <c r="G276" i="4"/>
  <c r="I276" i="4" s="1"/>
  <c r="H1155" i="15"/>
  <c r="G1155" i="15"/>
  <c r="G912" i="4"/>
  <c r="H1143" i="15"/>
  <c r="G1143" i="15"/>
  <c r="G855" i="4"/>
  <c r="I855" i="4" s="1"/>
  <c r="G1151" i="4"/>
  <c r="I1151" i="4" s="1"/>
  <c r="G554" i="4"/>
  <c r="I554" i="4" s="1"/>
  <c r="G245" i="4"/>
  <c r="I245" i="4" s="1"/>
  <c r="G338" i="5"/>
  <c r="I338" i="5" s="1"/>
  <c r="G904" i="4"/>
  <c r="I904" i="4" s="1"/>
  <c r="G753" i="4"/>
  <c r="I753" i="4" s="1"/>
  <c r="G446" i="4"/>
  <c r="I446" i="4" s="1"/>
  <c r="G87" i="5"/>
  <c r="G154" i="5"/>
  <c r="I154" i="5" s="1"/>
  <c r="G281" i="5"/>
  <c r="I281" i="5" s="1"/>
  <c r="G46" i="5"/>
  <c r="I46" i="5" s="1"/>
  <c r="G903" i="5"/>
  <c r="I903" i="5" s="1"/>
  <c r="G134" i="4"/>
  <c r="I134" i="4" s="1"/>
  <c r="G991" i="5"/>
  <c r="I991" i="5" s="1"/>
  <c r="G820" i="5"/>
  <c r="I820" i="5" s="1"/>
  <c r="G941" i="5"/>
  <c r="I941" i="5" s="1"/>
  <c r="G953" i="5"/>
  <c r="I953" i="5" s="1"/>
  <c r="G540" i="5"/>
  <c r="I540" i="5" s="1"/>
  <c r="G514" i="5"/>
  <c r="I514" i="5" s="1"/>
  <c r="G654" i="5"/>
  <c r="I654" i="5" s="1"/>
  <c r="G833" i="5"/>
  <c r="I833" i="5" s="1"/>
  <c r="G63" i="5"/>
  <c r="I63" i="5" s="1"/>
  <c r="G961" i="5"/>
  <c r="I961" i="5" s="1"/>
  <c r="G80" i="5"/>
  <c r="I80" i="5" s="1"/>
  <c r="G462" i="5"/>
  <c r="I462" i="5" s="1"/>
  <c r="G463" i="5"/>
  <c r="I463" i="5" s="1"/>
  <c r="G295" i="5"/>
  <c r="I295" i="5" s="1"/>
  <c r="G801" i="5"/>
  <c r="I801" i="5" s="1"/>
  <c r="G503" i="5"/>
  <c r="I503" i="5" s="1"/>
  <c r="G487" i="5"/>
  <c r="I487" i="5" s="1"/>
  <c r="G69" i="5"/>
  <c r="I69" i="5" s="1"/>
  <c r="G70" i="5"/>
  <c r="I70" i="5" s="1"/>
  <c r="G20" i="5"/>
  <c r="I20" i="5" s="1"/>
  <c r="G976" i="5"/>
  <c r="I976" i="5" s="1"/>
  <c r="G977" i="5"/>
  <c r="I977" i="5" s="1"/>
  <c r="G394" i="5"/>
  <c r="I394" i="5" s="1"/>
  <c r="G970" i="5"/>
  <c r="I970" i="5" s="1"/>
  <c r="G841" i="5"/>
  <c r="I841" i="5" s="1"/>
  <c r="G552" i="5"/>
  <c r="I552" i="5" s="1"/>
  <c r="G348" i="5"/>
  <c r="I348" i="5" s="1"/>
  <c r="G105" i="5"/>
  <c r="I105" i="5" s="1"/>
  <c r="G867" i="5"/>
  <c r="I867" i="5" s="1"/>
  <c r="G473" i="5"/>
  <c r="I473" i="5" s="1"/>
  <c r="G947" i="5"/>
  <c r="I947" i="5" s="1"/>
  <c r="G95" i="5"/>
  <c r="I95" i="5" s="1"/>
  <c r="G96" i="5"/>
  <c r="I96" i="5" s="1"/>
  <c r="G827" i="5"/>
  <c r="I827" i="5" s="1"/>
  <c r="G432" i="5"/>
  <c r="I432" i="5" s="1"/>
  <c r="G764" i="5"/>
  <c r="I764" i="5" s="1"/>
  <c r="F699" i="3"/>
  <c r="H699" i="3" s="1"/>
  <c r="F31" i="3"/>
  <c r="H31" i="3" s="1"/>
  <c r="F381" i="3"/>
  <c r="F438" i="3"/>
  <c r="H438" i="3" s="1"/>
  <c r="F577" i="3"/>
  <c r="H577" i="3" s="1"/>
  <c r="F268" i="3"/>
  <c r="H268" i="3" s="1"/>
  <c r="F1022" i="3"/>
  <c r="H1022" i="3" s="1"/>
  <c r="F1043" i="3"/>
  <c r="H1043" i="3" s="1"/>
  <c r="F951" i="3"/>
  <c r="H951" i="3" s="1"/>
  <c r="F1052" i="3"/>
  <c r="H1052" i="3" s="1"/>
  <c r="F467" i="3"/>
  <c r="H467" i="3" s="1"/>
  <c r="F263" i="3"/>
  <c r="H263" i="3" s="1"/>
  <c r="F231" i="3"/>
  <c r="H231" i="3" s="1"/>
  <c r="F764" i="3"/>
  <c r="H764" i="3" s="1"/>
  <c r="F332" i="3"/>
  <c r="H332" i="3" s="1"/>
  <c r="F479" i="3"/>
  <c r="H479" i="3" s="1"/>
  <c r="F250" i="3"/>
  <c r="F900" i="3"/>
  <c r="H900" i="3" s="1"/>
  <c r="F914" i="3"/>
  <c r="H914" i="3" s="1"/>
  <c r="F887" i="3"/>
  <c r="H887" i="3" s="1"/>
  <c r="F671" i="3"/>
  <c r="H671" i="3" s="1"/>
  <c r="F1016" i="3"/>
  <c r="H1016" i="3" s="1"/>
  <c r="F924" i="3"/>
  <c r="H924" i="3" s="1"/>
  <c r="F801" i="3"/>
  <c r="H801" i="3" s="1"/>
  <c r="F105" i="3"/>
  <c r="H105" i="3" s="1"/>
  <c r="F646" i="3"/>
  <c r="F167" i="3"/>
  <c r="H167" i="3" s="1"/>
  <c r="F135" i="3"/>
  <c r="H135" i="3" s="1"/>
  <c r="F424" i="3"/>
  <c r="H424" i="3" s="1"/>
  <c r="F745" i="3"/>
  <c r="H745" i="3" s="1"/>
  <c r="F783" i="3"/>
  <c r="H783" i="3" s="1"/>
  <c r="F1064" i="3"/>
  <c r="H1064" i="3" s="1"/>
  <c r="F283" i="3"/>
  <c r="F689" i="3"/>
  <c r="H689" i="3" s="1"/>
  <c r="F42" i="3"/>
  <c r="H42" i="3" s="1"/>
  <c r="H1151" i="15"/>
  <c r="G1151" i="15"/>
  <c r="G582" i="5"/>
  <c r="I582" i="5" s="1"/>
  <c r="F11" i="3" l="1"/>
  <c r="G349" i="5"/>
  <c r="I349" i="5" s="1"/>
  <c r="G911" i="4"/>
  <c r="I911" i="4" s="1"/>
  <c r="I912" i="4"/>
  <c r="G744" i="5"/>
  <c r="I744" i="5" s="1"/>
  <c r="I745" i="5"/>
  <c r="G25" i="6"/>
  <c r="I26" i="6"/>
  <c r="G86" i="5"/>
  <c r="I86" i="5" s="1"/>
  <c r="I87" i="5"/>
  <c r="G265" i="5"/>
  <c r="I265" i="5" s="1"/>
  <c r="I266" i="5"/>
  <c r="G710" i="5"/>
  <c r="I710" i="5" s="1"/>
  <c r="I711" i="5"/>
  <c r="G318" i="5"/>
  <c r="I318" i="5" s="1"/>
  <c r="I319" i="5"/>
  <c r="G26" i="4"/>
  <c r="I26" i="4" s="1"/>
  <c r="I104" i="4"/>
  <c r="G600" i="5"/>
  <c r="I600" i="5" s="1"/>
  <c r="I601" i="5"/>
  <c r="H799" i="5"/>
  <c r="G339" i="4"/>
  <c r="I339" i="4" s="1"/>
  <c r="I340" i="4"/>
  <c r="G402" i="5"/>
  <c r="I403" i="5"/>
  <c r="G765" i="5"/>
  <c r="I765" i="5" s="1"/>
  <c r="I766" i="5"/>
  <c r="G213" i="4"/>
  <c r="I213" i="4" s="1"/>
  <c r="I214" i="4"/>
  <c r="I162" i="4"/>
  <c r="G10" i="4"/>
  <c r="I10" i="4" s="1"/>
  <c r="I11" i="4"/>
  <c r="F645" i="3"/>
  <c r="H645" i="3" s="1"/>
  <c r="H646" i="3"/>
  <c r="F282" i="3"/>
  <c r="H282" i="3" s="1"/>
  <c r="H283" i="3"/>
  <c r="G249" i="3"/>
  <c r="H250" i="3"/>
  <c r="F348" i="3"/>
  <c r="H348" i="3" s="1"/>
  <c r="H381" i="3"/>
  <c r="F273" i="14"/>
  <c r="D26" i="13" s="1"/>
  <c r="D17" i="18"/>
  <c r="D152" i="12"/>
  <c r="C17" i="18"/>
  <c r="H160" i="16"/>
  <c r="H963" i="16" s="1"/>
  <c r="H446" i="15"/>
  <c r="H445" i="15" s="1"/>
  <c r="H444" i="15" s="1"/>
  <c r="G665" i="14"/>
  <c r="G664" i="14" s="1"/>
  <c r="G417" i="14"/>
  <c r="G416" i="14" s="1"/>
  <c r="G401" i="14" s="1"/>
  <c r="F506" i="14"/>
  <c r="F481" i="14" s="1"/>
  <c r="F480" i="14" s="1"/>
  <c r="D33" i="13" s="1"/>
  <c r="G446" i="15"/>
  <c r="G445" i="15" s="1"/>
  <c r="G444" i="15" s="1"/>
  <c r="G1062" i="15"/>
  <c r="G1112" i="15"/>
  <c r="G506" i="14"/>
  <c r="G481" i="14" s="1"/>
  <c r="G480" i="14" s="1"/>
  <c r="E33" i="13" s="1"/>
  <c r="G963" i="16"/>
  <c r="G30" i="15"/>
  <c r="H30" i="15"/>
  <c r="E24" i="13"/>
  <c r="G241" i="14"/>
  <c r="G277" i="15"/>
  <c r="H277" i="15"/>
  <c r="G546" i="15"/>
  <c r="G535" i="15" s="1"/>
  <c r="G341" i="15"/>
  <c r="H1112" i="15"/>
  <c r="F887" i="14"/>
  <c r="F876" i="14" s="1"/>
  <c r="F875" i="14" s="1"/>
  <c r="F709" i="14"/>
  <c r="D36" i="13" s="1"/>
  <c r="G222" i="14"/>
  <c r="E21" i="13"/>
  <c r="E20" i="13" s="1"/>
  <c r="G749" i="14"/>
  <c r="G738" i="14" s="1"/>
  <c r="E37" i="13" s="1"/>
  <c r="G709" i="14"/>
  <c r="E36" i="13" s="1"/>
  <c r="F839" i="14"/>
  <c r="D40" i="13" s="1"/>
  <c r="D38" i="13" s="1"/>
  <c r="F964" i="14"/>
  <c r="D47" i="13" s="1"/>
  <c r="H891" i="15"/>
  <c r="H850" i="15" s="1"/>
  <c r="H546" i="15"/>
  <c r="H535" i="15" s="1"/>
  <c r="G781" i="15"/>
  <c r="G773" i="15" s="1"/>
  <c r="D21" i="13"/>
  <c r="D20" i="13" s="1"/>
  <c r="F222" i="14"/>
  <c r="F749" i="14"/>
  <c r="F738" i="14" s="1"/>
  <c r="D37" i="13" s="1"/>
  <c r="H781" i="15"/>
  <c r="H773" i="15" s="1"/>
  <c r="F665" i="14"/>
  <c r="F664" i="14" s="1"/>
  <c r="H343" i="15"/>
  <c r="H342" i="15" s="1"/>
  <c r="H341" i="15" s="1"/>
  <c r="G839" i="14"/>
  <c r="E40" i="13" s="1"/>
  <c r="E38" i="13" s="1"/>
  <c r="G964" i="14"/>
  <c r="E47" i="13" s="1"/>
  <c r="G887" i="14"/>
  <c r="G876" i="14" s="1"/>
  <c r="G875" i="14" s="1"/>
  <c r="E43" i="13" s="1"/>
  <c r="E41" i="13" s="1"/>
  <c r="F636" i="14"/>
  <c r="G636" i="14"/>
  <c r="G457" i="14"/>
  <c r="G444" i="14" s="1"/>
  <c r="E31" i="13" s="1"/>
  <c r="G891" i="15"/>
  <c r="F457" i="14"/>
  <c r="F444" i="14" s="1"/>
  <c r="D31" i="13" s="1"/>
  <c r="F993" i="14"/>
  <c r="D49" i="13"/>
  <c r="D48" i="13" s="1"/>
  <c r="G993" i="14"/>
  <c r="E49" i="13"/>
  <c r="E48" i="13" s="1"/>
  <c r="G439" i="14"/>
  <c r="G440" i="14"/>
  <c r="F361" i="14"/>
  <c r="F401" i="14"/>
  <c r="F395" i="14" s="1"/>
  <c r="D30" i="13" s="1"/>
  <c r="G361" i="14"/>
  <c r="G128" i="14"/>
  <c r="G127" i="14" s="1"/>
  <c r="G8" i="14" s="1"/>
  <c r="K8" i="14" s="1"/>
  <c r="F128" i="14"/>
  <c r="F127" i="14" s="1"/>
  <c r="D23" i="13"/>
  <c r="E23" i="13"/>
  <c r="D13" i="13"/>
  <c r="F466" i="3"/>
  <c r="H466" i="3" s="1"/>
  <c r="G743" i="5"/>
  <c r="I743" i="5" s="1"/>
  <c r="G318" i="4"/>
  <c r="I318" i="4" s="1"/>
  <c r="G275" i="4"/>
  <c r="I275" i="4" s="1"/>
  <c r="G1205" i="4"/>
  <c r="H1152" i="15"/>
  <c r="G1152" i="15"/>
  <c r="G624" i="4"/>
  <c r="I624" i="4" s="1"/>
  <c r="G1023" i="4"/>
  <c r="G1207" i="4"/>
  <c r="G885" i="4"/>
  <c r="I885" i="4" s="1"/>
  <c r="G553" i="4"/>
  <c r="I553" i="4" s="1"/>
  <c r="G415" i="4"/>
  <c r="I415" i="4" s="1"/>
  <c r="G718" i="4"/>
  <c r="I718" i="4" s="1"/>
  <c r="H1156" i="15"/>
  <c r="G1156" i="15"/>
  <c r="G493" i="4"/>
  <c r="G1120" i="4"/>
  <c r="I1120" i="4" s="1"/>
  <c r="G1111" i="4"/>
  <c r="I1111" i="4" s="1"/>
  <c r="G196" i="5"/>
  <c r="I196" i="5" s="1"/>
  <c r="F505" i="3"/>
  <c r="H505" i="3" s="1"/>
  <c r="G1173" i="4"/>
  <c r="G752" i="4"/>
  <c r="I752" i="4" s="1"/>
  <c r="G1199" i="4"/>
  <c r="G445" i="4"/>
  <c r="I445" i="4" s="1"/>
  <c r="G1198" i="4"/>
  <c r="G826" i="5"/>
  <c r="I826" i="5" s="1"/>
  <c r="G19" i="5"/>
  <c r="I19" i="5" s="1"/>
  <c r="G960" i="5"/>
  <c r="I960" i="5" s="1"/>
  <c r="G513" i="5"/>
  <c r="I513" i="5" s="1"/>
  <c r="G472" i="5"/>
  <c r="I472" i="5" s="1"/>
  <c r="G551" i="5"/>
  <c r="G968" i="5"/>
  <c r="I968" i="5" s="1"/>
  <c r="G969" i="5"/>
  <c r="I969" i="5" s="1"/>
  <c r="G983" i="5"/>
  <c r="I983" i="5" s="1"/>
  <c r="G800" i="5"/>
  <c r="I800" i="5" s="1"/>
  <c r="G819" i="5"/>
  <c r="I819" i="5" s="1"/>
  <c r="G45" i="5"/>
  <c r="I45" i="5" s="1"/>
  <c r="G153" i="5"/>
  <c r="I153" i="5" s="1"/>
  <c r="G424" i="5"/>
  <c r="I424" i="5" s="1"/>
  <c r="G102" i="5"/>
  <c r="I102" i="5" s="1"/>
  <c r="G76" i="5"/>
  <c r="I76" i="5" s="1"/>
  <c r="G62" i="5"/>
  <c r="I62" i="5" s="1"/>
  <c r="G914" i="5"/>
  <c r="I914" i="5" s="1"/>
  <c r="G104" i="5"/>
  <c r="I104" i="5" s="1"/>
  <c r="G103" i="5"/>
  <c r="I103" i="5" s="1"/>
  <c r="G832" i="5"/>
  <c r="I832" i="5" s="1"/>
  <c r="G840" i="5"/>
  <c r="I840" i="5" s="1"/>
  <c r="G393" i="5"/>
  <c r="I393" i="5" s="1"/>
  <c r="G392" i="5"/>
  <c r="I392" i="5" s="1"/>
  <c r="G502" i="5"/>
  <c r="I502" i="5" s="1"/>
  <c r="G79" i="5"/>
  <c r="I79" i="5" s="1"/>
  <c r="G653" i="5"/>
  <c r="I653" i="5" s="1"/>
  <c r="G539" i="5"/>
  <c r="I539" i="5" s="1"/>
  <c r="G1172" i="4"/>
  <c r="G280" i="5"/>
  <c r="I280" i="5" s="1"/>
  <c r="F913" i="3"/>
  <c r="F230" i="3"/>
  <c r="H230" i="3" s="1"/>
  <c r="D25" i="2"/>
  <c r="F25" i="2" s="1"/>
  <c r="F166" i="3"/>
  <c r="H166" i="3" s="1"/>
  <c r="F670" i="3"/>
  <c r="H670" i="3" s="1"/>
  <c r="F249" i="3"/>
  <c r="F331" i="3"/>
  <c r="H331" i="3" s="1"/>
  <c r="F262" i="3"/>
  <c r="H262" i="3" s="1"/>
  <c r="F1051" i="3"/>
  <c r="H1051" i="3" s="1"/>
  <c r="F1042" i="3"/>
  <c r="F772" i="3"/>
  <c r="H772" i="3" s="1"/>
  <c r="F800" i="3"/>
  <c r="H800" i="3" s="1"/>
  <c r="F104" i="3"/>
  <c r="H104" i="3" s="1"/>
  <c r="F423" i="3"/>
  <c r="H423" i="3" s="1"/>
  <c r="F698" i="3"/>
  <c r="H698" i="3" s="1"/>
  <c r="F41" i="3"/>
  <c r="H41" i="3" s="1"/>
  <c r="F744" i="3"/>
  <c r="H744" i="3" s="1"/>
  <c r="F1003" i="3"/>
  <c r="H1003" i="3" s="1"/>
  <c r="F899" i="3"/>
  <c r="H899" i="3" s="1"/>
  <c r="F763" i="3"/>
  <c r="H763" i="3" s="1"/>
  <c r="F950" i="3"/>
  <c r="H950" i="3" s="1"/>
  <c r="F30" i="3"/>
  <c r="H30" i="3" s="1"/>
  <c r="C168" i="1"/>
  <c r="E168" i="1" s="1"/>
  <c r="I991" i="10"/>
  <c r="H11" i="3" l="1"/>
  <c r="D12" i="2"/>
  <c r="F12" i="2" s="1"/>
  <c r="G599" i="5"/>
  <c r="I599" i="5" s="1"/>
  <c r="G742" i="5"/>
  <c r="G741" i="5" s="1"/>
  <c r="I741" i="5" s="1"/>
  <c r="G317" i="5"/>
  <c r="I317" i="5" s="1"/>
  <c r="G550" i="5"/>
  <c r="I550" i="5" s="1"/>
  <c r="I551" i="5"/>
  <c r="F610" i="3"/>
  <c r="H610" i="3" s="1"/>
  <c r="I402" i="5"/>
  <c r="G401" i="5"/>
  <c r="H798" i="5"/>
  <c r="I25" i="6"/>
  <c r="G43" i="6"/>
  <c r="I43" i="6" s="1"/>
  <c r="E20" i="7"/>
  <c r="F54" i="2"/>
  <c r="G938" i="4"/>
  <c r="I938" i="4" s="1"/>
  <c r="I1023" i="4"/>
  <c r="G492" i="4"/>
  <c r="I492" i="4" s="1"/>
  <c r="I493" i="4"/>
  <c r="I161" i="4"/>
  <c r="F912" i="3"/>
  <c r="H912" i="3" s="1"/>
  <c r="H913" i="3"/>
  <c r="F1021" i="3"/>
  <c r="H1021" i="3" s="1"/>
  <c r="H1042" i="3"/>
  <c r="E23" i="2"/>
  <c r="H249" i="3"/>
  <c r="G248" i="3"/>
  <c r="G1069" i="3" s="1"/>
  <c r="G1074" i="3" s="1"/>
  <c r="F241" i="14"/>
  <c r="D22" i="13"/>
  <c r="G850" i="15"/>
  <c r="G471" i="5"/>
  <c r="I471" i="5" s="1"/>
  <c r="D54" i="2"/>
  <c r="F905" i="3"/>
  <c r="H905" i="3" s="1"/>
  <c r="G338" i="4"/>
  <c r="G552" i="4"/>
  <c r="G635" i="14"/>
  <c r="E35" i="13" s="1"/>
  <c r="G214" i="15"/>
  <c r="H214" i="15"/>
  <c r="H1105" i="15" s="1"/>
  <c r="D17" i="13"/>
  <c r="D11" i="13" s="1"/>
  <c r="F8" i="14"/>
  <c r="J8" i="14" s="1"/>
  <c r="E22" i="13"/>
  <c r="F331" i="14"/>
  <c r="D29" i="13" s="1"/>
  <c r="D27" i="13" s="1"/>
  <c r="G331" i="14"/>
  <c r="E29" i="13" s="1"/>
  <c r="F765" i="14"/>
  <c r="G765" i="14"/>
  <c r="F635" i="14"/>
  <c r="D35" i="13" s="1"/>
  <c r="G868" i="14"/>
  <c r="G395" i="14"/>
  <c r="E30" i="13" s="1"/>
  <c r="E17" i="13"/>
  <c r="E11" i="13" s="1"/>
  <c r="G552" i="14"/>
  <c r="G551" i="14" s="1"/>
  <c r="F621" i="14"/>
  <c r="F586" i="14" s="1"/>
  <c r="F552" i="14" s="1"/>
  <c r="F551" i="14" s="1"/>
  <c r="F868" i="14"/>
  <c r="J868" i="14" s="1"/>
  <c r="D43" i="13"/>
  <c r="D41" i="13" s="1"/>
  <c r="F504" i="3"/>
  <c r="G195" i="5"/>
  <c r="I195" i="5" s="1"/>
  <c r="G1204" i="4"/>
  <c r="G1217" i="4" s="1"/>
  <c r="G1002" i="5" s="1"/>
  <c r="G274" i="4"/>
  <c r="I274" i="4" s="1"/>
  <c r="G1174" i="4"/>
  <c r="G1175" i="4" s="1"/>
  <c r="G1150" i="15"/>
  <c r="H1150" i="15"/>
  <c r="G25" i="4"/>
  <c r="G1119" i="4"/>
  <c r="I1119" i="4" s="1"/>
  <c r="G212" i="4"/>
  <c r="H1148" i="15"/>
  <c r="G1148" i="15"/>
  <c r="H1142" i="15"/>
  <c r="G1142" i="15"/>
  <c r="H1116" i="15"/>
  <c r="G1116" i="15"/>
  <c r="G444" i="4"/>
  <c r="H1141" i="15"/>
  <c r="G1141" i="15"/>
  <c r="G967" i="5"/>
  <c r="I967" i="5" s="1"/>
  <c r="G44" i="5"/>
  <c r="I44" i="5" s="1"/>
  <c r="F876" i="3"/>
  <c r="H1115" i="15"/>
  <c r="G1115" i="15"/>
  <c r="G839" i="5"/>
  <c r="I839" i="5" s="1"/>
  <c r="G902" i="5"/>
  <c r="I902" i="5" s="1"/>
  <c r="G152" i="5"/>
  <c r="I152" i="5" s="1"/>
  <c r="G818" i="5"/>
  <c r="I818" i="5" s="1"/>
  <c r="G825" i="5"/>
  <c r="I825" i="5" s="1"/>
  <c r="G78" i="5"/>
  <c r="I78" i="5" s="1"/>
  <c r="G77" i="5"/>
  <c r="I77" i="5" s="1"/>
  <c r="G61" i="5"/>
  <c r="I61" i="5" s="1"/>
  <c r="G799" i="5"/>
  <c r="I799" i="5" s="1"/>
  <c r="G975" i="5"/>
  <c r="I975" i="5" s="1"/>
  <c r="G538" i="5"/>
  <c r="I538" i="5" s="1"/>
  <c r="G110" i="5"/>
  <c r="I110" i="5" s="1"/>
  <c r="G11" i="5"/>
  <c r="I11" i="5" s="1"/>
  <c r="D45" i="2"/>
  <c r="F45" i="2" s="1"/>
  <c r="D26" i="2"/>
  <c r="F26" i="2" s="1"/>
  <c r="D29" i="2"/>
  <c r="F29" i="2" s="1"/>
  <c r="D24" i="2"/>
  <c r="F24" i="2" s="1"/>
  <c r="F248" i="3"/>
  <c r="D23" i="2"/>
  <c r="F229" i="3"/>
  <c r="H229" i="3" s="1"/>
  <c r="D21" i="2"/>
  <c r="F21" i="2" s="1"/>
  <c r="D31" i="2"/>
  <c r="F31" i="2" s="1"/>
  <c r="F415" i="3"/>
  <c r="D39" i="2"/>
  <c r="F39" i="2" s="1"/>
  <c r="F134" i="3"/>
  <c r="D13" i="2"/>
  <c r="F13" i="2" s="1"/>
  <c r="F1002" i="3"/>
  <c r="F743" i="3"/>
  <c r="H743" i="3" s="1"/>
  <c r="D14" i="2"/>
  <c r="F14" i="2" s="1"/>
  <c r="D15" i="2"/>
  <c r="F15" i="2" s="1"/>
  <c r="D37" i="2"/>
  <c r="F37" i="2" s="1"/>
  <c r="F1050" i="3"/>
  <c r="H1050" i="3" s="1"/>
  <c r="D50" i="2"/>
  <c r="F50" i="2" s="1"/>
  <c r="D28" i="2"/>
  <c r="F28" i="2" s="1"/>
  <c r="F669" i="3"/>
  <c r="H669" i="3" s="1"/>
  <c r="C20" i="7"/>
  <c r="I742" i="5" l="1"/>
  <c r="I401" i="5"/>
  <c r="G400" i="5"/>
  <c r="I400" i="5" s="1"/>
  <c r="G1186" i="4"/>
  <c r="I444" i="4"/>
  <c r="G1183" i="4"/>
  <c r="G1184" i="4" s="1"/>
  <c r="I338" i="4"/>
  <c r="H1000" i="5"/>
  <c r="H1003" i="5" s="1"/>
  <c r="G1169" i="4"/>
  <c r="I212" i="4"/>
  <c r="G541" i="4"/>
  <c r="I541" i="4" s="1"/>
  <c r="I552" i="4"/>
  <c r="I160" i="4"/>
  <c r="H248" i="3"/>
  <c r="D40" i="2"/>
  <c r="F40" i="2" s="1"/>
  <c r="H876" i="3"/>
  <c r="D33" i="2"/>
  <c r="F33" i="2" s="1"/>
  <c r="H504" i="3"/>
  <c r="F998" i="3"/>
  <c r="H998" i="3" s="1"/>
  <c r="H1002" i="3"/>
  <c r="F330" i="3"/>
  <c r="H330" i="3" s="1"/>
  <c r="H415" i="3"/>
  <c r="G1105" i="15"/>
  <c r="F1016" i="14" s="1"/>
  <c r="F23" i="2"/>
  <c r="E22" i="2"/>
  <c r="F10" i="3"/>
  <c r="H10" i="3" s="1"/>
  <c r="H134" i="3"/>
  <c r="G211" i="4"/>
  <c r="I211" i="4" s="1"/>
  <c r="E27" i="13"/>
  <c r="F316" i="14"/>
  <c r="D18" i="18"/>
  <c r="G1016" i="14"/>
  <c r="G316" i="14"/>
  <c r="D34" i="13"/>
  <c r="D32" i="13" s="1"/>
  <c r="F479" i="14"/>
  <c r="J479" i="14" s="1"/>
  <c r="E34" i="13"/>
  <c r="E32" i="13" s="1"/>
  <c r="G479" i="14"/>
  <c r="K479" i="14" s="1"/>
  <c r="G165" i="5"/>
  <c r="I165" i="5" s="1"/>
  <c r="G797" i="4"/>
  <c r="G1177" i="4"/>
  <c r="G1178" i="4" s="1"/>
  <c r="G884" i="4"/>
  <c r="I884" i="4" s="1"/>
  <c r="G1170" i="4"/>
  <c r="H1117" i="15"/>
  <c r="H1118" i="15" s="1"/>
  <c r="G1117" i="15"/>
  <c r="G1118" i="15" s="1"/>
  <c r="H1113" i="15"/>
  <c r="G1113" i="15"/>
  <c r="H1147" i="15"/>
  <c r="H1160" i="15" s="1"/>
  <c r="G1147" i="15"/>
  <c r="G1180" i="4"/>
  <c r="G1181" i="4" s="1"/>
  <c r="G798" i="5"/>
  <c r="I798" i="5" s="1"/>
  <c r="F799" i="3"/>
  <c r="H799" i="3" s="1"/>
  <c r="G817" i="5"/>
  <c r="I817" i="5" s="1"/>
  <c r="G32" i="5"/>
  <c r="I32" i="5" s="1"/>
  <c r="G549" i="5"/>
  <c r="I549" i="5" s="1"/>
  <c r="G470" i="5"/>
  <c r="I470" i="5" s="1"/>
  <c r="G68" i="5"/>
  <c r="I68" i="5" s="1"/>
  <c r="F970" i="3"/>
  <c r="H970" i="3" s="1"/>
  <c r="D36" i="2"/>
  <c r="F36" i="2" s="1"/>
  <c r="D17" i="2"/>
  <c r="D35" i="2"/>
  <c r="F35" i="2" s="1"/>
  <c r="D48" i="2"/>
  <c r="F48" i="2" s="1"/>
  <c r="F576" i="3"/>
  <c r="H576" i="3" s="1"/>
  <c r="D43" i="2"/>
  <c r="D49" i="2"/>
  <c r="F49" i="2" s="1"/>
  <c r="D38" i="2"/>
  <c r="F38" i="2" s="1"/>
  <c r="D30" i="2"/>
  <c r="F30" i="2" s="1"/>
  <c r="D20" i="2"/>
  <c r="F20" i="2" s="1"/>
  <c r="D22" i="2"/>
  <c r="C18" i="18" l="1"/>
  <c r="G1189" i="4"/>
  <c r="G1190" i="4" s="1"/>
  <c r="I797" i="4"/>
  <c r="E52" i="2"/>
  <c r="G1070" i="3"/>
  <c r="G1071" i="3" s="1"/>
  <c r="I25" i="4"/>
  <c r="D41" i="2"/>
  <c r="F41" i="2" s="1"/>
  <c r="F43" i="2"/>
  <c r="F22" i="2"/>
  <c r="E51" i="2"/>
  <c r="D21" i="7" s="1"/>
  <c r="D22" i="7" s="1"/>
  <c r="D11" i="2"/>
  <c r="F11" i="2" s="1"/>
  <c r="F17" i="2"/>
  <c r="G789" i="4"/>
  <c r="H965" i="16"/>
  <c r="H967" i="16" s="1"/>
  <c r="G1160" i="15"/>
  <c r="G965" i="16" s="1"/>
  <c r="G967" i="16" s="1"/>
  <c r="G955" i="14"/>
  <c r="G927" i="14" s="1"/>
  <c r="G926" i="14" s="1"/>
  <c r="G925" i="14" s="1"/>
  <c r="F955" i="14"/>
  <c r="F927" i="14" s="1"/>
  <c r="F926" i="14" s="1"/>
  <c r="F925" i="14" s="1"/>
  <c r="H1132" i="15"/>
  <c r="H1133" i="15" s="1"/>
  <c r="H1126" i="15"/>
  <c r="H1127" i="15" s="1"/>
  <c r="G1126" i="15"/>
  <c r="G1127" i="15" s="1"/>
  <c r="H1120" i="15"/>
  <c r="H1121" i="15" s="1"/>
  <c r="G1120" i="15"/>
  <c r="G1121" i="15" s="1"/>
  <c r="H1123" i="15"/>
  <c r="H1124" i="15" s="1"/>
  <c r="G1123" i="15"/>
  <c r="G1124" i="15" s="1"/>
  <c r="H1129" i="15"/>
  <c r="G1129" i="15"/>
  <c r="G1187" i="4"/>
  <c r="G1193" i="4"/>
  <c r="G31" i="5"/>
  <c r="I31" i="5" s="1"/>
  <c r="D27" i="2"/>
  <c r="F27" i="2" s="1"/>
  <c r="F575" i="3"/>
  <c r="H575" i="3" s="1"/>
  <c r="F996" i="3"/>
  <c r="H996" i="3" s="1"/>
  <c r="G1162" i="4" l="1"/>
  <c r="I1162" i="4" s="1"/>
  <c r="F52" i="2" s="1"/>
  <c r="I789" i="4"/>
  <c r="E55" i="2"/>
  <c r="E53" i="2"/>
  <c r="G1194" i="4"/>
  <c r="G1195" i="4" s="1"/>
  <c r="I1195" i="4" s="1"/>
  <c r="D46" i="13"/>
  <c r="D45" i="13" s="1"/>
  <c r="D50" i="13" s="1"/>
  <c r="D54" i="13" s="1"/>
  <c r="F924" i="14"/>
  <c r="F1012" i="14" s="1"/>
  <c r="F1018" i="14" s="1"/>
  <c r="E46" i="13"/>
  <c r="E45" i="13" s="1"/>
  <c r="E50" i="13" s="1"/>
  <c r="E54" i="13" s="1"/>
  <c r="G924" i="14"/>
  <c r="G1012" i="14" s="1"/>
  <c r="G1018" i="14" s="1"/>
  <c r="G1132" i="15"/>
  <c r="G1133" i="15" s="1"/>
  <c r="D52" i="2"/>
  <c r="G1130" i="15"/>
  <c r="H1130" i="15"/>
  <c r="H1137" i="15" s="1"/>
  <c r="H1136" i="15"/>
  <c r="D34" i="2"/>
  <c r="F34" i="2" s="1"/>
  <c r="F503" i="3"/>
  <c r="H503" i="3" s="1"/>
  <c r="F969" i="3"/>
  <c r="H1070" i="3" l="1"/>
  <c r="F964" i="3"/>
  <c r="H969" i="3"/>
  <c r="G1136" i="15"/>
  <c r="G1137" i="15"/>
  <c r="G1164" i="4"/>
  <c r="F1070" i="3"/>
  <c r="H1138" i="15"/>
  <c r="D32" i="2"/>
  <c r="F32" i="2" s="1"/>
  <c r="F963" i="3" l="1"/>
  <c r="H963" i="3" s="1"/>
  <c r="H964" i="3"/>
  <c r="G1138" i="15"/>
  <c r="G1107" i="15"/>
  <c r="F1013" i="14"/>
  <c r="D47" i="2"/>
  <c r="F47" i="2" s="1"/>
  <c r="H1107" i="15" l="1"/>
  <c r="G1013" i="14"/>
  <c r="D46" i="2"/>
  <c r="F1069" i="3"/>
  <c r="H1069" i="3" s="1"/>
  <c r="H1071" i="3" s="1"/>
  <c r="D51" i="2" l="1"/>
  <c r="F51" i="2" s="1"/>
  <c r="F46" i="2"/>
  <c r="F1071" i="3"/>
  <c r="F1014" i="14" s="1"/>
  <c r="G1014" i="14" s="1"/>
  <c r="F53" i="2" l="1"/>
  <c r="E21" i="7"/>
  <c r="E22" i="7" s="1"/>
  <c r="D55" i="2"/>
  <c r="C21" i="7"/>
  <c r="C22" i="7" s="1"/>
  <c r="F55" i="2"/>
  <c r="D19" i="18"/>
  <c r="D11" i="18" s="1"/>
  <c r="C19" i="18"/>
  <c r="C11" i="18" s="1"/>
  <c r="D53" i="2"/>
  <c r="C13" i="18" l="1"/>
  <c r="C12" i="18" s="1"/>
  <c r="C10" i="18"/>
  <c r="C16" i="7"/>
  <c r="C14" i="18" l="1"/>
  <c r="C9" i="18"/>
  <c r="C13" i="7"/>
  <c r="D10" i="18" s="1"/>
  <c r="C17" i="7"/>
  <c r="L1164" i="4" l="1"/>
  <c r="M1164" i="4" s="1"/>
  <c r="E17" i="7"/>
  <c r="C15" i="7"/>
  <c r="C12" i="7" s="1"/>
  <c r="D9" i="18" s="1"/>
  <c r="D13" i="18"/>
  <c r="G264" i="5"/>
  <c r="G164" i="5" l="1"/>
  <c r="I164" i="5" s="1"/>
  <c r="I264" i="5"/>
  <c r="D12" i="18"/>
  <c r="D14" i="18"/>
  <c r="G1000" i="5"/>
  <c r="G1003" i="5" l="1"/>
  <c r="I1000" i="5"/>
  <c r="I1003" i="5" s="1"/>
</calcChain>
</file>

<file path=xl/comments1.xml><?xml version="1.0" encoding="utf-8"?>
<comments xmlns="http://schemas.openxmlformats.org/spreadsheetml/2006/main">
  <authors>
    <author>Автор</author>
  </authors>
  <commentList>
    <comment ref="B98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</commentList>
</comments>
</file>

<file path=xl/sharedStrings.xml><?xml version="1.0" encoding="utf-8"?>
<sst xmlns="http://schemas.openxmlformats.org/spreadsheetml/2006/main" count="35022" uniqueCount="1583">
  <si>
    <t>Приложение № 1</t>
  </si>
  <si>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</si>
  <si>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</si>
  <si>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</si>
  <si>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</si>
  <si>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</si>
  <si>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</si>
  <si>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</si>
  <si>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</si>
  <si>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</si>
  <si>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</si>
  <si>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</si>
  <si>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</si>
  <si>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</si>
  <si>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</si>
  <si>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</si>
  <si>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</si>
  <si>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</si>
  <si>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</si>
  <si>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</si>
  <si>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</si>
  <si>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</si>
  <si>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</si>
  <si>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</si>
  <si>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</si>
  <si>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</si>
  <si>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</si>
  <si>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</si>
  <si>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</si>
  <si>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</si>
  <si>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</si>
  <si>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</si>
  <si>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</si>
  <si>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</si>
  <si>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</si>
  <si>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</si>
  <si>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</si>
  <si>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</si>
  <si>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</si>
  <si>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</si>
  <si>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</si>
  <si>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</si>
  <si>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</si>
  <si>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</si>
  <si>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</si>
  <si>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</si>
  <si>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</si>
  <si>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</si>
  <si>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</si>
  <si>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</si>
  <si>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</si>
  <si>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</si>
  <si>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</si>
  <si>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</si>
  <si>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</si>
  <si>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</si>
  <si>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</si>
  <si>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</si>
  <si>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</si>
  <si>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</si>
  <si>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</si>
  <si>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</si>
  <si>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</si>
  <si>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</si>
  <si>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</si>
  <si>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</si>
  <si>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</si>
  <si>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</si>
  <si>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</si>
  <si>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</si>
  <si>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</si>
  <si>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</si>
  <si>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</si>
  <si>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</si>
  <si>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</si>
  <si>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</si>
  <si>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</si>
  <si>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</si>
  <si>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</si>
  <si>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</si>
  <si>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</si>
  <si>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</si>
  <si>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</si>
  <si>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</si>
  <si>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</si>
  <si>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</si>
  <si>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</si>
  <si>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</si>
  <si>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</si>
  <si>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</si>
  <si>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</si>
  <si>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</si>
  <si>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</si>
  <si>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</si>
  <si>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</si>
  <si>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</si>
  <si>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</si>
  <si>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</si>
  <si>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</si>
  <si>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</si>
  <si>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</si>
  <si>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</si>
  <si>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</si>
  <si>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</si>
  <si>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</si>
  <si>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</si>
  <si>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</si>
  <si>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</si>
  <si>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</si>
  <si>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</si>
  <si>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</si>
  <si>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</si>
  <si>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</si>
  <si>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</si>
  <si>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</si>
  <si>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</si>
  <si>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</si>
  <si>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</si>
  <si>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</si>
  <si>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</si>
  <si>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</si>
  <si>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</si>
  <si>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</si>
  <si>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</si>
  <si>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</si>
  <si>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</si>
  <si>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</si>
  <si>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</si>
  <si>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</si>
  <si>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</si>
  <si>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</si>
  <si>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</si>
  <si>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</si>
  <si>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</si>
  <si>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</si>
  <si>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</si>
  <si>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</si>
  <si>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</si>
  <si>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</si>
  <si>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</si>
  <si>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</si>
  <si>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</si>
  <si>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</si>
  <si>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</si>
  <si>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</si>
  <si>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</si>
  <si>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</si>
  <si>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</si>
  <si>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</si>
  <si>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</si>
  <si>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</si>
  <si>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</si>
  <si>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</si>
  <si>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</si>
  <si>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</si>
  <si>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</si>
  <si>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</si>
  <si>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</si>
  <si>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</si>
  <si>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</si>
  <si>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</si>
  <si>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</si>
  <si>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</si>
  <si>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</si>
  <si>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</si>
  <si>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</si>
  <si>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</si>
  <si>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</si>
  <si>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</si>
  <si>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</si>
  <si>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</si>
  <si>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</si>
  <si>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</si>
  <si>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</si>
  <si>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</si>
  <si>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</si>
  <si>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</si>
  <si>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</si>
  <si>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</si>
  <si>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</si>
  <si>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</si>
  <si>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</si>
  <si>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</si>
  <si>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</si>
  <si>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</si>
  <si>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</si>
  <si>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</si>
  <si>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</si>
  <si>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</si>
  <si>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</si>
  <si>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</si>
  <si>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</si>
  <si>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</si>
  <si>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</si>
  <si>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</si>
  <si>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</si>
  <si>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</si>
  <si>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</si>
  <si>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</si>
  <si>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</si>
  <si>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</si>
  <si>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</si>
  <si>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</si>
  <si>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</si>
  <si>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</si>
  <si>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</si>
  <si>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</si>
  <si>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</si>
  <si>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</si>
  <si>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</si>
  <si>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</si>
  <si>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</si>
  <si>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</si>
  <si>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</si>
  <si>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</si>
  <si>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</si>
  <si>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</si>
  <si>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</si>
  <si>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</si>
  <si>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</si>
  <si>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</si>
  <si>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</si>
  <si>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</si>
  <si>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</si>
  <si>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</si>
  <si>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</si>
  <si>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</si>
  <si>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</si>
  <si>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</si>
  <si>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</si>
  <si>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</si>
  <si>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</si>
  <si>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</si>
  <si>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</si>
  <si>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</si>
  <si>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</si>
  <si>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</si>
  <si>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</si>
  <si>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</si>
  <si>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</si>
  <si>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</si>
  <si>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</si>
  <si>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</si>
  <si>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</si>
  <si>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</si>
  <si>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</si>
  <si>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</si>
  <si>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</si>
  <si>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</si>
  <si>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</si>
  <si>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</si>
  <si>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</si>
  <si>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</si>
  <si>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</si>
  <si>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</si>
  <si>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</si>
  <si>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</si>
  <si>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</si>
  <si>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</si>
  <si>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</si>
  <si>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</si>
  <si>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</si>
  <si>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</si>
  <si>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</si>
  <si>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</si>
  <si>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</si>
  <si>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</si>
  <si>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</si>
  <si>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</si>
  <si>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</si>
  <si>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</si>
  <si>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</si>
  <si>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</si>
  <si>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</si>
  <si>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</si>
  <si>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</si>
  <si>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</si>
  <si>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</si>
  <si>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</si>
  <si>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</si>
  <si>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</si>
  <si>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</si>
  <si>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</si>
  <si>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</si>
  <si>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</si>
  <si>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</si>
  <si>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</si>
  <si>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</si>
  <si>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</si>
  <si>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</si>
  <si>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</si>
  <si>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</si>
  <si>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</si>
  <si>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</si>
  <si>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</si>
  <si>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</si>
  <si>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</si>
  <si>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</si>
  <si>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</si>
  <si>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</si>
  <si>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</si>
  <si>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</si>
  <si>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</si>
  <si>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</si>
  <si>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</si>
  <si>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</si>
  <si>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</si>
  <si>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</si>
  <si>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</si>
  <si>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</si>
  <si>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</si>
  <si>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</si>
  <si>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</si>
  <si>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</si>
  <si>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</si>
  <si>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</si>
  <si>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</si>
  <si>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</si>
  <si>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</si>
  <si>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</si>
  <si>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</si>
  <si>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</si>
  <si>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</si>
  <si>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</si>
  <si>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</si>
  <si>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</si>
  <si>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</si>
  <si>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</si>
  <si>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</si>
  <si>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</si>
  <si>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</si>
  <si>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</si>
  <si>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</si>
  <si>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</si>
  <si>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</si>
  <si>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</si>
  <si>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</si>
  <si>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</si>
  <si>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</si>
  <si>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</si>
  <si>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</si>
  <si>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</si>
  <si>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</si>
  <si>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</si>
  <si>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</si>
  <si>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</si>
  <si>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</si>
  <si>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</si>
  <si>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</si>
  <si>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</si>
  <si>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</si>
  <si>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</si>
  <si>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</si>
  <si>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</si>
  <si>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</si>
  <si>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</si>
  <si>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</si>
  <si>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</si>
  <si>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</si>
  <si>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</si>
  <si>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</si>
  <si>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</si>
  <si>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</si>
  <si>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</si>
  <si>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</si>
  <si>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</si>
  <si>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</si>
  <si>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</si>
  <si>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</si>
  <si>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</si>
  <si>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</si>
  <si>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</si>
  <si>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</si>
  <si>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</si>
  <si>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</si>
  <si>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</si>
  <si>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</si>
  <si>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</si>
  <si>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</si>
  <si>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</si>
  <si>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</si>
  <si>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</si>
  <si>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</si>
  <si>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</si>
  <si>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</si>
  <si>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</si>
  <si>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</si>
  <si>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</si>
  <si>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</si>
  <si>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</si>
  <si>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</si>
  <si>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</si>
  <si>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</si>
  <si>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</si>
  <si>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</si>
  <si>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</si>
  <si>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</si>
  <si>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</si>
  <si>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</si>
  <si>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</si>
  <si>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</si>
  <si>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</si>
  <si>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</si>
  <si>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</si>
  <si>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</si>
  <si>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</si>
  <si>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</si>
  <si>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</si>
  <si>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</si>
  <si>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</si>
  <si>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</si>
  <si>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</si>
  <si>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</si>
  <si>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</si>
  <si>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</si>
  <si>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</si>
  <si>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</si>
  <si>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</si>
  <si>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</si>
  <si>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</si>
  <si>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</si>
  <si>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</si>
  <si>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</si>
  <si>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</si>
  <si>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</si>
  <si>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</si>
  <si>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</si>
  <si>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</si>
  <si>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</si>
  <si>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</si>
  <si>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</si>
  <si>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</si>
  <si>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</si>
  <si>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</si>
  <si>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</si>
  <si>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</si>
  <si>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</si>
  <si>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</si>
  <si>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</si>
  <si>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</si>
  <si>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</si>
  <si>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</si>
  <si>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</si>
  <si>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</si>
  <si>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</si>
  <si>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</si>
  <si>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</si>
  <si>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</si>
  <si>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</si>
  <si>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</si>
  <si>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</si>
  <si>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</si>
  <si>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</si>
  <si>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</si>
  <si>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</si>
  <si>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</si>
  <si>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</si>
  <si>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</si>
  <si>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</si>
  <si>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</si>
  <si>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</si>
  <si>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</si>
  <si>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</si>
  <si>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</si>
  <si>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</si>
  <si>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</si>
  <si>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</si>
  <si>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</si>
  <si>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</si>
  <si>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</si>
  <si>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</si>
  <si>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</si>
  <si>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</si>
  <si>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</si>
  <si>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</si>
  <si>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</si>
  <si>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</si>
  <si>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</si>
  <si>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</si>
  <si>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</si>
  <si>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</si>
  <si>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</si>
  <si>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</si>
  <si>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</si>
  <si>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</si>
  <si>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</si>
  <si>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</si>
  <si>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</si>
  <si>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</si>
  <si>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</si>
  <si>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</si>
  <si>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</si>
  <si>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</si>
  <si>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</si>
  <si>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</si>
  <si>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</si>
  <si>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</si>
  <si>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</si>
  <si>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</si>
  <si>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</si>
  <si>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</si>
  <si>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</si>
  <si>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</si>
  <si>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</si>
  <si>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</si>
  <si>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</si>
  <si>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</si>
  <si>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</si>
  <si>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</si>
  <si>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</si>
  <si>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</si>
  <si>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</si>
  <si>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</si>
  <si>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</si>
  <si>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</si>
  <si>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</si>
  <si>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</si>
  <si>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</si>
  <si>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</si>
  <si>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</si>
  <si>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</si>
  <si>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</si>
  <si>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</si>
  <si>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</si>
  <si>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</si>
  <si>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</si>
  <si>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</si>
  <si>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</si>
  <si>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</si>
  <si>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</si>
  <si>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</si>
  <si>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</si>
  <si>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</si>
  <si>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</si>
  <si>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</si>
  <si>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</si>
  <si>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</si>
  <si>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</si>
  <si>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</si>
  <si>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</si>
  <si>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</si>
  <si>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</si>
  <si>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</si>
  <si>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</si>
  <si>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</si>
  <si>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</si>
  <si>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</si>
  <si>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</si>
  <si>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</si>
  <si>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</si>
  <si>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</si>
  <si>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</si>
  <si>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</si>
  <si>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</si>
  <si>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</si>
  <si>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</si>
  <si>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</si>
  <si>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</si>
  <si>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</si>
  <si>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</si>
  <si>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</si>
  <si>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</si>
  <si>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</si>
  <si>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</si>
  <si>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</si>
  <si>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</si>
  <si>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</si>
  <si>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</si>
  <si>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</si>
  <si>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</si>
  <si>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</si>
  <si>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</si>
  <si>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</si>
  <si>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</si>
  <si>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</si>
  <si>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</si>
  <si>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</si>
  <si>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</si>
  <si>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</si>
  <si>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</si>
  <si>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</si>
  <si>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</si>
  <si>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</si>
  <si>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</si>
  <si>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</si>
  <si>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</si>
  <si>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</si>
  <si>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</si>
  <si>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</si>
  <si>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</si>
  <si>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</si>
  <si>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</si>
  <si>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</si>
  <si>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</si>
  <si>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</si>
  <si>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</si>
  <si>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</si>
  <si>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</si>
  <si>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</si>
  <si>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</si>
  <si>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</si>
  <si>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</si>
  <si>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</si>
  <si>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</si>
  <si>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</si>
  <si>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</si>
  <si>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</si>
  <si>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</si>
  <si>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</si>
  <si>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</si>
  <si>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</si>
  <si>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</si>
  <si>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</si>
  <si>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</si>
  <si>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</si>
  <si>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</si>
  <si>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</si>
  <si>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</si>
  <si>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</si>
  <si>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</si>
  <si>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</si>
  <si>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</si>
  <si>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</si>
  <si>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</si>
  <si>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</si>
  <si>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</si>
  <si>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</si>
  <si>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</si>
  <si>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</si>
  <si>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</si>
  <si>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</si>
  <si>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</si>
  <si>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</si>
  <si>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</si>
  <si>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</si>
  <si>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</si>
  <si>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</si>
  <si>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</si>
  <si>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</si>
  <si>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</si>
  <si>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</si>
  <si>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</si>
  <si>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</si>
  <si>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</si>
  <si>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</si>
  <si>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</si>
  <si>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</si>
  <si>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</si>
  <si>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</si>
  <si>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</si>
  <si>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</si>
  <si>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</si>
  <si>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</si>
  <si>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</si>
  <si>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</si>
  <si>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</si>
  <si>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</si>
  <si>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</si>
  <si>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</si>
  <si>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</si>
  <si>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</si>
  <si>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</si>
  <si>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</si>
  <si>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</si>
  <si>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</si>
  <si>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</si>
  <si>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</si>
  <si>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</si>
  <si>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</si>
  <si>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</si>
  <si>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</si>
  <si>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</si>
  <si>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</si>
  <si>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</si>
  <si>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</si>
  <si>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</si>
  <si>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</si>
  <si>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</si>
  <si>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</si>
  <si>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</si>
  <si>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</si>
  <si>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</si>
  <si>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</si>
  <si>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</si>
  <si>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</si>
  <si>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</si>
  <si>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</si>
  <si>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</si>
  <si>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</si>
  <si>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</si>
  <si>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</si>
  <si>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</si>
  <si>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</si>
  <si>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</si>
  <si>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</si>
  <si>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</si>
  <si>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</si>
  <si>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</si>
  <si>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</si>
  <si>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</si>
  <si>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</si>
  <si>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</si>
  <si>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</si>
  <si>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</si>
  <si>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</si>
  <si>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</si>
  <si>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</si>
  <si>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</si>
  <si>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</si>
  <si>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</si>
  <si>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</si>
  <si>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</si>
  <si>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</si>
  <si>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</si>
  <si>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</si>
  <si>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</si>
  <si>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</si>
  <si>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</si>
  <si>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</si>
  <si>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</si>
  <si>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</si>
  <si>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</si>
  <si>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</si>
  <si>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</si>
  <si>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</si>
  <si>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</si>
  <si>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</si>
  <si>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</si>
  <si>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</si>
  <si>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</si>
  <si>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</si>
  <si>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</si>
  <si>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</si>
  <si>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</si>
  <si>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</si>
  <si>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</si>
  <si>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</si>
  <si>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</si>
  <si>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</si>
  <si>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</si>
  <si>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</si>
  <si>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</si>
  <si>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</si>
  <si>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</si>
  <si>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</si>
  <si>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</si>
  <si>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</si>
  <si>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</si>
  <si>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</si>
  <si>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</si>
  <si>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</si>
  <si>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</si>
  <si>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</si>
  <si>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</si>
  <si>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</si>
  <si>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</si>
  <si>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</si>
  <si>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</si>
  <si>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</si>
  <si>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</si>
  <si>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</si>
  <si>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</si>
  <si>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</si>
  <si>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</si>
  <si>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</si>
  <si>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</si>
  <si>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</si>
  <si>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</si>
  <si>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</si>
  <si>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</si>
  <si>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</si>
  <si>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</si>
  <si>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</si>
  <si>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</si>
  <si>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</si>
  <si>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</si>
  <si>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</si>
  <si>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</si>
  <si>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</si>
  <si>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</si>
  <si>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</si>
  <si>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</si>
  <si>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</si>
  <si>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</si>
  <si>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</si>
  <si>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</si>
  <si>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</si>
  <si>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</si>
  <si>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</si>
  <si>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</si>
  <si>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</si>
  <si>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</si>
  <si>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</si>
  <si>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</si>
  <si>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</si>
  <si>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</si>
  <si>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</si>
  <si>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</si>
  <si>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</si>
  <si>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</si>
  <si>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</si>
  <si>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</si>
  <si>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</si>
  <si>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</si>
  <si>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</si>
  <si>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</si>
  <si>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</si>
  <si>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</si>
  <si>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</si>
  <si>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</si>
  <si>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</si>
  <si>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</si>
  <si>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</si>
  <si>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</si>
  <si>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</si>
  <si>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</si>
  <si>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</si>
  <si>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</si>
  <si>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</si>
  <si>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</si>
  <si>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</si>
  <si>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</si>
  <si>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</si>
  <si>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</si>
  <si>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</si>
  <si>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</si>
  <si>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</si>
  <si>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</si>
  <si>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</si>
  <si>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</si>
  <si>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</si>
  <si>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</si>
  <si>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</si>
  <si>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</si>
  <si>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</si>
  <si>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</si>
  <si>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</si>
  <si>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</si>
  <si>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</si>
  <si>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</si>
  <si>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</si>
  <si>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</si>
  <si>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</si>
  <si>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</si>
  <si>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</si>
  <si>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</si>
  <si>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</si>
  <si>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</si>
  <si>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</si>
  <si>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</si>
  <si>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</si>
  <si>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</si>
  <si>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</si>
  <si>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</si>
  <si>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</si>
  <si>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</si>
  <si>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</si>
  <si>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</si>
  <si>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</si>
  <si>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</si>
  <si>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Проведение казенными учреждениями  мероприятий в области культуры и искусства</t>
  </si>
  <si>
    <t>67 0 00 00000</t>
  </si>
  <si>
    <t>69 0 00 00000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</si>
  <si>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</si>
  <si>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</si>
  <si>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</si>
  <si>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</si>
  <si>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</si>
  <si>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</si>
  <si>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</si>
  <si>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</si>
  <si>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</si>
  <si>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</si>
  <si>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</si>
  <si>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</si>
  <si>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</si>
  <si>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</si>
  <si>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</si>
  <si>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</si>
  <si>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</si>
  <si>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</si>
  <si>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</si>
  <si>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</si>
  <si>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</si>
  <si>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</si>
  <si>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</si>
  <si>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</si>
  <si>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</si>
  <si>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</si>
  <si>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</si>
  <si>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</si>
  <si>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</si>
  <si>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</si>
  <si>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</si>
  <si>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</si>
  <si>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</si>
  <si>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</si>
  <si>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</si>
  <si>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</si>
  <si>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</si>
  <si>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</si>
  <si>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</si>
  <si>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</si>
  <si>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</si>
  <si>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</si>
  <si>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</si>
  <si>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</si>
  <si>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</si>
  <si>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</si>
  <si>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</si>
  <si>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</si>
  <si>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</si>
  <si>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</si>
  <si>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</si>
  <si>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</si>
  <si>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</si>
  <si>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</si>
  <si>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</si>
  <si>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</si>
  <si>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</si>
  <si>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</si>
  <si>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</si>
  <si>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</si>
  <si>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</si>
  <si>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Организация и проведение ярмарок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</si>
  <si>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</si>
  <si>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</si>
  <si>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</si>
  <si>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</si>
  <si>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</si>
  <si>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</si>
  <si>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</si>
  <si>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</si>
  <si>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51 8 01 00000</t>
  </si>
  <si>
    <t>51 8 01 S3240</t>
  </si>
  <si>
    <t>51 8 01 73240</t>
  </si>
  <si>
    <t>Укрепление гражданского единства, гармонизация межнациональных отношений, профилактика экстремизма</t>
  </si>
  <si>
    <t>51 7 01 00000</t>
  </si>
  <si>
    <t>51 7 02 00000</t>
  </si>
  <si>
    <t>51 7 03 00000</t>
  </si>
  <si>
    <t>58 3 01 40000</t>
  </si>
  <si>
    <t>Основное мероприятие "Обеспечение деятельности подведомственных образовательных учреждений"</t>
  </si>
  <si>
    <t>58 3 01 00000</t>
  </si>
  <si>
    <t>58 3 02 01710</t>
  </si>
  <si>
    <t>58 3 02 00000</t>
  </si>
  <si>
    <t>58 3 03 00000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</si>
  <si>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</si>
  <si>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</si>
  <si>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</si>
  <si>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</si>
  <si>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</si>
  <si>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58 3 04 00000</t>
  </si>
  <si>
    <t>51 1 01 00000</t>
  </si>
  <si>
    <t>51 1 01 01730</t>
  </si>
  <si>
    <t>51 1 02 00000</t>
  </si>
  <si>
    <t>58 1 01 40000</t>
  </si>
  <si>
    <t>Основное мероприятие "Обеспечение деятельности подведомственных  учреждений культуры"</t>
  </si>
  <si>
    <t>58 1 01 00000</t>
  </si>
  <si>
    <t>58 1 02 00000</t>
  </si>
  <si>
    <t>58 1 02 01720</t>
  </si>
  <si>
    <t>58 2 01 00000</t>
  </si>
  <si>
    <t>58 2 01 40000</t>
  </si>
  <si>
    <t>58 2 02 00000</t>
  </si>
  <si>
    <t>58 2 02 01740</t>
  </si>
  <si>
    <t>58 2 03 00000</t>
  </si>
  <si>
    <t>58 2 04 00000</t>
  </si>
  <si>
    <t>51 6 01 00000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</si>
  <si>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</si>
  <si>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</si>
  <si>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</si>
  <si>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"Проведение мероприятий в области культуры и искусства"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</si>
  <si>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</si>
  <si>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</si>
  <si>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</si>
  <si>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</si>
  <si>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</si>
  <si>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</si>
  <si>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</si>
  <si>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</si>
  <si>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</si>
  <si>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Основное мероприятие "Поддержка граждан старшего поколения"</t>
  </si>
  <si>
    <t>51 4 01 00000</t>
  </si>
  <si>
    <t>51 4 01 01860</t>
  </si>
  <si>
    <t>51 4 02 00000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</si>
  <si>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</si>
  <si>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</si>
  <si>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</si>
  <si>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</si>
  <si>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</si>
  <si>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</si>
  <si>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</si>
  <si>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</si>
  <si>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</si>
  <si>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</si>
  <si>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</si>
  <si>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</si>
  <si>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</si>
  <si>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</si>
  <si>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</si>
  <si>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</si>
  <si>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</si>
  <si>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</si>
  <si>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</si>
  <si>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</si>
  <si>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</si>
  <si>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</si>
  <si>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52 1 01 00000</t>
  </si>
  <si>
    <t>Основное мероприятие "Развитие учреждений дошкольного образования"</t>
  </si>
  <si>
    <t>52 2 01 00000</t>
  </si>
  <si>
    <t>52 2 01 20030</t>
  </si>
  <si>
    <t>52 2 01 20040</t>
  </si>
  <si>
    <t>52 2 01 20050</t>
  </si>
  <si>
    <t>52 2 02 00000</t>
  </si>
  <si>
    <t>52 2 02 20070</t>
  </si>
  <si>
    <t>52 2 02 20140</t>
  </si>
  <si>
    <t>52 2 02 20150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</si>
  <si>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</si>
  <si>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52 2 03 00000</t>
  </si>
  <si>
    <t>52 2 03 S3С20</t>
  </si>
  <si>
    <t>52 2 03 73С20</t>
  </si>
  <si>
    <t>52 1 02 74060</t>
  </si>
  <si>
    <t>52 1 02 00000</t>
  </si>
  <si>
    <t>52 1 02 74120</t>
  </si>
  <si>
    <t>52 1 02 74070</t>
  </si>
  <si>
    <t>52 1 02 75010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</si>
  <si>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</si>
  <si>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</si>
  <si>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</si>
  <si>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</si>
  <si>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"Развитие учреждений основного образования"</t>
  </si>
  <si>
    <t>52 3 01 00000</t>
  </si>
  <si>
    <t>Основное мероприятие "Совершенствование питания учащихся"</t>
  </si>
  <si>
    <t>52 3 02 00000</t>
  </si>
  <si>
    <t>Основное мероприятие "Питание детей из многодетных семей"</t>
  </si>
  <si>
    <t>52 3 01 20010</t>
  </si>
  <si>
    <t>52 3 01 20030</t>
  </si>
  <si>
    <t>52 3 01 20040</t>
  </si>
  <si>
    <t>52 3 01 20060</t>
  </si>
  <si>
    <t>52 3 02 S3440</t>
  </si>
  <si>
    <t>52 3 02 73440</t>
  </si>
  <si>
    <t>52 3 03 00000</t>
  </si>
  <si>
    <t>52 3 03 S3950</t>
  </si>
  <si>
    <t>52 3 03 73950</t>
  </si>
  <si>
    <t>52 3 04 00000</t>
  </si>
  <si>
    <t>52 3 05 00000</t>
  </si>
  <si>
    <t>52 3 04 20070</t>
  </si>
  <si>
    <t>52 3 04 20140</t>
  </si>
  <si>
    <t>52 3 05 20170</t>
  </si>
  <si>
    <t>Основное мероприятие "Питание детей с ограниченными возможностями здоровья"</t>
  </si>
  <si>
    <t>52 1 02 74050</t>
  </si>
  <si>
    <t>52 1 02 74130</t>
  </si>
  <si>
    <t>52 1 01 13000</t>
  </si>
  <si>
    <t>Основное мероприятие "Развитие учреждений дополнительного образования"</t>
  </si>
  <si>
    <t>52 4 02 00000</t>
  </si>
  <si>
    <t>52 4 02 20140</t>
  </si>
  <si>
    <t xml:space="preserve">03 </t>
  </si>
  <si>
    <t>Основное мероприятие "Оздоровление детей и подростков"</t>
  </si>
  <si>
    <t>52 5 01 00000</t>
  </si>
  <si>
    <t>52 5 01 S3210</t>
  </si>
  <si>
    <t>52 5 01 73210</t>
  </si>
  <si>
    <t>02 0 02 01190</t>
  </si>
  <si>
    <t>57 1 01 00000</t>
  </si>
  <si>
    <t>52 1 01 11010</t>
  </si>
  <si>
    <t>Субсидии муниципальным учреждениям дошкольного образования на выполнение муниципального задания (МБДОУ "Детский сад п.Омсукчан")</t>
  </si>
  <si>
    <t>52 1 01 11020</t>
  </si>
  <si>
    <t>52 1 01 12010</t>
  </si>
  <si>
    <t>52 1 01 12020</t>
  </si>
  <si>
    <t>52 1 01 12030</t>
  </si>
  <si>
    <t>Субсидии муниципальным учреждениям общего образования на выполнение муниципального задания (МБОУ "СОШ п.Омсукчан"</t>
  </si>
  <si>
    <t>Субсидии муниципальным учреждениям общего образования на выполнение муниципального задания (МБОУ "СОШ п.Дукат")</t>
  </si>
  <si>
    <t>Субсидии муниципальным учреждениям общего образования на выполнение муниципального задания (МБОУ "ООШ п.Омсукчан")</t>
  </si>
  <si>
    <t>57 1 01 14010</t>
  </si>
  <si>
    <t>57 1 01 14020</t>
  </si>
  <si>
    <t>57 1 01 14030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</si>
  <si>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</si>
  <si>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</si>
  <si>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</si>
  <si>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</si>
  <si>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57 1 03 00000</t>
  </si>
  <si>
    <t>57 1 02 20030</t>
  </si>
  <si>
    <t>57 1 02 20040</t>
  </si>
  <si>
    <t>57 1 02 20060</t>
  </si>
  <si>
    <t>57 1 03 20070</t>
  </si>
  <si>
    <t>57 1 03 20140</t>
  </si>
  <si>
    <t>57 1 04 00000</t>
  </si>
  <si>
    <t>57 1 04 75010</t>
  </si>
  <si>
    <t>Основное мероприятие "Проведение физкультурно-спортивных мероприятий"</t>
  </si>
  <si>
    <t>57 3 01 00000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</si>
  <si>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</si>
  <si>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</si>
  <si>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</si>
  <si>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</si>
  <si>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</si>
  <si>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</si>
  <si>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</si>
  <si>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</si>
  <si>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</si>
  <si>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</si>
  <si>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</si>
  <si>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</si>
  <si>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</si>
  <si>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</si>
  <si>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</si>
  <si>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</si>
  <si>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</si>
  <si>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</si>
  <si>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</si>
  <si>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</si>
  <si>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</si>
  <si>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</si>
  <si>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</si>
  <si>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</si>
  <si>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</si>
  <si>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</si>
  <si>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</si>
  <si>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</si>
  <si>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</si>
  <si>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</si>
  <si>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</si>
  <si>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</si>
  <si>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60 1 01 00000</t>
  </si>
  <si>
    <t>60 1 01 01280</t>
  </si>
  <si>
    <t>Основное мероприятие "Создание комфортных условий для проживания населения"</t>
  </si>
  <si>
    <t>60 1 01 01390</t>
  </si>
  <si>
    <t>60 1 01 01400</t>
  </si>
  <si>
    <t>60 2 01 00000</t>
  </si>
  <si>
    <t>60 2 01 01400</t>
  </si>
  <si>
    <t>60 2 01 01410</t>
  </si>
  <si>
    <t>60 2 01 01420</t>
  </si>
  <si>
    <t>60 2 01 01430</t>
  </si>
  <si>
    <t>60 2 02 00000</t>
  </si>
  <si>
    <t>60 2 02 74170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</si>
  <si>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</si>
  <si>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</si>
  <si>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</si>
  <si>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</si>
  <si>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</si>
  <si>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</si>
  <si>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</si>
  <si>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</si>
  <si>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Основное мероприятие "Санитарное содержание территории"</t>
  </si>
  <si>
    <t>54 0 02 73260</t>
  </si>
  <si>
    <t>54 0 02 S3260</t>
  </si>
  <si>
    <t>Муниципальная программа "Развитие муниципальной службы Омсукчанского городского округа на 2018-2020 годы"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</si>
  <si>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</si>
  <si>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</si>
  <si>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</si>
  <si>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</si>
  <si>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Основное мероприятие "Повышение рождаемости в Омсукчанском городском округе"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</si>
  <si>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</si>
  <si>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</si>
  <si>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</si>
  <si>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</si>
  <si>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</si>
  <si>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Приобретение и использование справочно-правовых систем, автоматизация кадровых процедур</t>
  </si>
  <si>
    <t>Основное мероприятие "Правовое и информационное обеспечение деятельности органов местного самоуправления Омсукчанского городского округа"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</si>
  <si>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</si>
  <si>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</si>
  <si>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</si>
  <si>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</si>
  <si>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</si>
  <si>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</si>
  <si>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</si>
  <si>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</si>
  <si>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58 1 03 00000</t>
  </si>
  <si>
    <t>58 1 03 01790</t>
  </si>
  <si>
    <t>58 1 04 00000</t>
  </si>
  <si>
    <t>58 1 04 75010</t>
  </si>
  <si>
    <t>Основное мероприятие "Культурно-массовые мероприятия в   учреждениях дополнительного образования детей"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</si>
  <si>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</si>
  <si>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</si>
  <si>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</si>
  <si>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</si>
  <si>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</si>
  <si>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</si>
  <si>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</si>
  <si>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</si>
  <si>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</si>
  <si>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Муниципальная программа "Комплексное развитие  систем коммунальной инфраструктуры Омсукчанского городского округа на 2019-2020 годы"</t>
  </si>
  <si>
    <t>Муниципальная программа "Профилактика экстеремизма и терроризма на территории Омсукчанского городского округа на 2017-2020 годы"</t>
  </si>
  <si>
    <t>Муниципальная программа "Развитие транспортной инфраструктуры  Омсукчанского городского округа" на 2018-2020 годы"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</si>
  <si>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2017-2020 годы</t>
  </si>
  <si>
    <t>66 0 01 00000</t>
  </si>
  <si>
    <t>66 0 01 L5110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</si>
  <si>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2019-2020 годы"</t>
  </si>
  <si>
    <t>Муниципальная программа "Профилактика экстремизма и терроризма на территории Омсукчанского городского округа на 2017-2020 годы"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</si>
  <si>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2019-2020 годы"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</si>
  <si>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</si>
  <si>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</si>
  <si>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"Поощрение лучших учеников учреждений дополнительного образования детей"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</si>
  <si>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</si>
  <si>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</si>
  <si>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</si>
  <si>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План на 2021 год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</si>
  <si>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</si>
  <si>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</si>
  <si>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</si>
  <si>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</si>
  <si>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</si>
  <si>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</si>
  <si>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</si>
  <si>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</si>
  <si>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</si>
  <si>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</si>
  <si>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</si>
  <si>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</si>
  <si>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</si>
  <si>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</si>
  <si>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 "Поддержка отдельных категорий граждан Омсукчанского городского округа"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</si>
  <si>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</si>
  <si>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</si>
  <si>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</si>
  <si>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51 7 01 S3310</t>
  </si>
  <si>
    <t>51 7 01 73310</t>
  </si>
  <si>
    <t>51 7 02 S3290</t>
  </si>
  <si>
    <t>51 7 02 73290</t>
  </si>
  <si>
    <t>51 7 03 S3470</t>
  </si>
  <si>
    <t>51 7 03 73470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</si>
  <si>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</si>
  <si>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</si>
  <si>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</si>
  <si>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</si>
  <si>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</si>
  <si>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51 6 01 01890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</si>
  <si>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</si>
  <si>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</si>
  <si>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</si>
  <si>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</si>
  <si>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</si>
  <si>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</si>
  <si>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</si>
  <si>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</si>
  <si>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</si>
  <si>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</si>
  <si>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</si>
  <si>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</si>
  <si>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57 3 01 01910</t>
  </si>
  <si>
    <t>Основное мероприятие "Содержание и ремонт автомобильных дорог общего пользования"</t>
  </si>
  <si>
    <t>Субсидии муниципальным учреждениям дошкольного образования на выполнение муниципального задания (МБДОУ "Детский сад п.Дукат")</t>
  </si>
  <si>
    <t>Муниципальная программа "Развитие малого и среднего предпринимательства в Омсукчанском городском округе" на 2018-2020 г.г."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</si>
  <si>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</si>
  <si>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</si>
  <si>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</si>
  <si>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</si>
  <si>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</si>
  <si>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</si>
  <si>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</si>
  <si>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</si>
  <si>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</si>
  <si>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</si>
  <si>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60 2 02 74190</t>
  </si>
  <si>
    <t>02 0 02 01750</t>
  </si>
  <si>
    <t>58 2 03 01790</t>
  </si>
  <si>
    <t>58 2 04 S3160</t>
  </si>
  <si>
    <t>58 2 04 73160</t>
  </si>
  <si>
    <t>58 2 05 00000</t>
  </si>
  <si>
    <t>58 2 05 74110</t>
  </si>
  <si>
    <t>58 2 05 75010</t>
  </si>
  <si>
    <t xml:space="preserve">01 0 03 51200 </t>
  </si>
  <si>
    <t>Создание условий для образования детей инвалидов</t>
  </si>
  <si>
    <t>63 0 01 01620</t>
  </si>
  <si>
    <t>02 0 02 01110</t>
  </si>
  <si>
    <t>67 0 01 00000</t>
  </si>
  <si>
    <t>58 3 04 01790</t>
  </si>
  <si>
    <t>58 3 05 00000</t>
  </si>
  <si>
    <t>58 3 05 74060</t>
  </si>
  <si>
    <t>58 3 05 74070</t>
  </si>
  <si>
    <t>58 3 05 75010</t>
  </si>
  <si>
    <t>Основное мероприятие "Развитие учреждений общего образования"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</si>
  <si>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</si>
  <si>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</si>
  <si>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</si>
  <si>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</si>
  <si>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</si>
  <si>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</si>
  <si>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>Приложение № 1.1</t>
  </si>
  <si>
    <t>Приложение № 4.1.</t>
  </si>
  <si>
    <t>Приложение № 5.1.</t>
  </si>
  <si>
    <t xml:space="preserve">План на 2021 год </t>
  </si>
  <si>
    <t xml:space="preserve">План на 2022 год 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</si>
  <si>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</si>
  <si>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</si>
  <si>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</si>
  <si>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</si>
  <si>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</si>
  <si>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бюджета Омсукчанского городского округа  на 2021-2022 годы</t>
  </si>
  <si>
    <t>Приложение № 9.1.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</si>
  <si>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</si>
  <si>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</si>
  <si>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</si>
  <si>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60 2 01 01770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</si>
  <si>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</si>
  <si>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</si>
  <si>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</si>
  <si>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</si>
  <si>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Мероприятия по развитию библиотечного дела</t>
  </si>
  <si>
    <t>Подготовка участников резерва управленческих кадров из числа муниципальных служащих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</si>
  <si>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</si>
  <si>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</si>
  <si>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</si>
  <si>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</si>
  <si>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</si>
  <si>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</si>
  <si>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</si>
  <si>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</si>
  <si>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</si>
  <si>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 xml:space="preserve"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</t>
  </si>
  <si>
    <t>Управление жилищно-коммунальногохозяйства и градостроительства администрации Омсукчанского городского округа</t>
  </si>
  <si>
    <t>51 7 04 00000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</si>
  <si>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</si>
  <si>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</si>
  <si>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</si>
  <si>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</si>
  <si>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</si>
  <si>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</si>
  <si>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</si>
  <si>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</si>
  <si>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</si>
  <si>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</si>
  <si>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</si>
  <si>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</si>
  <si>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</si>
  <si>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</si>
  <si>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</si>
  <si>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1 12 01 040 01 00000 120</t>
  </si>
  <si>
    <t>Плата за размещение отходов производства и потребления</t>
  </si>
  <si>
    <t>2 02 25497 00 0000 151</t>
  </si>
  <si>
    <t>Субсидии бюджетам на реализацию мероприятий по обеспечению жильем молодых семей</t>
  </si>
  <si>
    <t>2 02 25511 00 0000 150</t>
  </si>
  <si>
    <t xml:space="preserve">Субсидии бюджетам на проведение комплексных кадастровых работ
</t>
  </si>
  <si>
    <t>2 02 25555 00 0000 150</t>
  </si>
  <si>
    <t>Субсидии бюджетам на поддержку  программ формирования современной городской среды</t>
  </si>
  <si>
    <t>Субсидии бюджетам  городских округов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</si>
  <si>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</si>
  <si>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</si>
  <si>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</si>
  <si>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</si>
  <si>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</si>
  <si>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</si>
  <si>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</si>
  <si>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</si>
  <si>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</si>
  <si>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2 02 15002 00 0000 150</t>
  </si>
  <si>
    <t>Дотации бюджетам  на поддержку мер по обеспечению сбалансированности бюджетов</t>
  </si>
  <si>
    <t>2 02 15001 00 0000 150</t>
  </si>
  <si>
    <t>Субсидии бюджетам  на реализацию мероприятий по обеспечению жильем молодых семей</t>
  </si>
  <si>
    <t xml:space="preserve">Поступления доходов в </t>
  </si>
  <si>
    <t>бюджет Омсукчанского городского огруга</t>
  </si>
  <si>
    <t>на плановый период 2021-2022 годов</t>
  </si>
  <si>
    <t>Распределение бюджетных ассигнований</t>
  </si>
  <si>
    <t xml:space="preserve"> по разделам и подразделам классификации</t>
  </si>
  <si>
    <t xml:space="preserve"> расходов бюджетов Российской Федерации на  плановый период 2021-2022 годов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</si>
  <si>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2021-2022 годов</t>
  </si>
  <si>
    <t>Ведомственная  структура расходов бюджета Омсукчанского городского округа на плановый период 2021-2022 годов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</si>
  <si>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2021-2022 годов</t>
  </si>
  <si>
    <t>Распределения ассигнований, направляемых на исполнение публичных нормативных обязательств на плановый период 2021-2022 годов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</si>
  <si>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</si>
  <si>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Резервные средства</t>
  </si>
  <si>
    <t>02 0 02 99999</t>
  </si>
  <si>
    <t>870</t>
  </si>
  <si>
    <t>51 7 04 01920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</si>
  <si>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</si>
  <si>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</si>
  <si>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Муниципальная программа "Чистая вода Омсукчанского городского округа" на 2020-2024 годы"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</si>
  <si>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</si>
  <si>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</si>
  <si>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</si>
  <si>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</si>
  <si>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</si>
  <si>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</si>
  <si>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</si>
  <si>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 без владельцев</t>
  </si>
  <si>
    <t>Муниципальная программа "Профилактика экстремизма и терроризма на территории Омсукчанского городского округа на 2017-2021 годы"</t>
  </si>
  <si>
    <t>2 02 25519 04 0000 150</t>
  </si>
  <si>
    <t>Субсидия бюджетам городских округов на поддержку отрасли культуры</t>
  </si>
  <si>
    <t>2 02 25519 00 0000 150</t>
  </si>
  <si>
    <t>2 02 25497 04 0000 150</t>
  </si>
  <si>
    <t>2 02 25497 00 0000 150</t>
  </si>
  <si>
    <t>Субсидия бюджетам  на поддержку отрасли культуры</t>
  </si>
  <si>
    <t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в рамках государственной программы  Магаданской области "Социально-экономическое и культурное развитие коренных малочисленных народов Севера, проживающих на территории Магаданской области"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</si>
  <si>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</si>
  <si>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</si>
  <si>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</si>
  <si>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</si>
  <si>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</si>
  <si>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</si>
  <si>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</si>
  <si>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</si>
  <si>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</si>
  <si>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Субвенции бюджетам городских округов   на 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области"  государственной программы Магаданской области "Развитие образования в Магаданской области"  </t>
  </si>
  <si>
    <t>Субвенции бюджетам городских округов на проведение Всероссийской переписи населения 2020 года</t>
  </si>
  <si>
    <t>2 02 35469 00 0000 150</t>
  </si>
  <si>
    <t>2 02 35469 04 0000 150</t>
  </si>
  <si>
    <t>Субвенции бюджетам на проведение Всероссийской переписи населения 2020 года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</si>
  <si>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государственной программы Магаданской области "Развитие образования в Магаданской области"  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</si>
  <si>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</si>
  <si>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</si>
  <si>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</si>
  <si>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</si>
  <si>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52 2 04 00000</t>
  </si>
  <si>
    <t xml:space="preserve">Частичное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</si>
  <si>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</si>
  <si>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52 2 04 73420</t>
  </si>
  <si>
    <t>52 2 04 S3420</t>
  </si>
  <si>
    <t>Основное мероприятие "Развитие и укрепление материально-технической базы домов культуры"</t>
  </si>
  <si>
    <t>58 1 05 00000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</si>
  <si>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</si>
  <si>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58 1 05 L4670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</si>
  <si>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</si>
  <si>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</si>
  <si>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</si>
  <si>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</si>
  <si>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52 3 E1 00000</t>
  </si>
  <si>
    <t>52 3 E1 51690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</si>
  <si>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</si>
  <si>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</si>
  <si>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</si>
  <si>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</si>
  <si>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</si>
  <si>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2021-2030 годы"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</si>
  <si>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2021-2030 годы"</t>
  </si>
  <si>
    <t>Муниципальная программа "Профилактика экстремизма и терроризма на территории Омсукчанского городского округа на 2021-2030 годы"</t>
  </si>
  <si>
    <t>Муниципальная программа "Развитие муниципальной службы в Омсукчанском городском округе на 2021-2030 годы"</t>
  </si>
  <si>
    <t>Муниципальная программа "Проведение социальной политики в Омсукчанском городском округе" на 2021-2030 г.г.</t>
  </si>
  <si>
    <t>Муниципальная программа "Формирование доступной среды в Омсукчанском городском округе" на 2021-2030 годы"</t>
  </si>
  <si>
    <t>Муниципальная программа "Профилактика экстеремизма и терроризма на территории Омсукчанского городского округа на 2021-2030 годы"</t>
  </si>
  <si>
    <t>Муниципальная программа "Развитие культуры в Омсукчанском городском округе на 2021-2030 г.г."</t>
  </si>
  <si>
    <t>Подпрограмма "Развитие народного творчества и проведение культурного досуга населения в Омсукчанском городском округе на 2021-2030 г.г."</t>
  </si>
  <si>
    <t>Подпрограмма "Развитие библиотечного дела в Омсукчанском городском округе на 2021-2030 г.г."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</si>
  <si>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</si>
  <si>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системы образования в Омсукчанском городском округе  на 2021-2030 г.г."</t>
  </si>
  <si>
    <t>Муниципальная программа "Развитие системы образования в Омсукчанском городском округе на 2021-2030 г.г."</t>
  </si>
  <si>
    <t>Подпрограмма "Развитие массовой физической культуры и спорта в Омсукчанском городском округе на 2021-2030 г.г."</t>
  </si>
  <si>
    <t>Муниципальная программа "Развитие физической культуры и спорта в Омсукчанском городском округе на 2021-2030 г.г."</t>
  </si>
  <si>
    <t>Подпрограмма "Физкультурно-спортивные мероприятия окружного и областного уровней на 2021-2030 годы"</t>
  </si>
  <si>
    <t>Муниципальная программа "Развитие транспортной инфраструктуры  Омсукчанского городского округа" на 2021-2030 годы"</t>
  </si>
  <si>
    <t>Муниципальная программа "Благоустройство территории Омсукчанского городского округа на 2021-2030 годы"</t>
  </si>
  <si>
    <t>Подпрограмма "Санитарное содержание территорий поселений Омсукчанского городского округа на 2021-2030 годы"</t>
  </si>
  <si>
    <t>Муниципальная программа "Развитие муниципальной службы Омсукчанского городского округа на 2021-2030 годы"</t>
  </si>
  <si>
    <t>Муниципальная программа "Развитие торговли на территории Омсукчанского городского округа" на 2021-2030 годы"</t>
  </si>
  <si>
    <t>Муниципальная программа "Развитие малого и среднего предпринимательства в Омсукчанском городском округе" на 2021-2030 г.г."</t>
  </si>
  <si>
    <t>58 1 A1 00000</t>
  </si>
  <si>
    <t>58 1 A1 55190</t>
  </si>
  <si>
    <t>58 1 А1 00000</t>
  </si>
  <si>
    <t>Основное мероприятие "Государственная поддержка отрасли культуры"</t>
  </si>
  <si>
    <t>Подпрограмма "Развитие дополнительного образования детей в области культуры в Омсукчанском городском округе"</t>
  </si>
  <si>
    <t>Подпрограмма "Развитие народного творчества и проведение культурного досуга населения в Омсукчанском городском округе"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</si>
  <si>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2021-2030 годах"</t>
  </si>
  <si>
    <t>Подпрограмма "Развитие массовой физической культуры и спорта в Омсукчанском городском округе"</t>
  </si>
  <si>
    <t>Подпрограмма "Физкультурно-спортивные мероприятия окружного и областного уровней"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</si>
  <si>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</si>
  <si>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Подпрограмма "Санитарное содержание территорий поселений Омсукчанского городского округа"</t>
  </si>
  <si>
    <t>Подпрограмма "Развитие библиотечного дела в Омсукчанском городском округе"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</si>
  <si>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</si>
  <si>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</si>
  <si>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</si>
  <si>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</si>
  <si>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</si>
  <si>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Субсидии муниципальным учреждениям общего образования на выполнение муниципального задания (МБОУ "СОШ п.Омсукчан")</t>
  </si>
  <si>
    <t>Субсидии муниципальным учреждениям общего образования на выполнение муниципального задания ("МБОУ "СОШ п.Дукат")</t>
  </si>
  <si>
    <t>Субсидии муниципальным учреждениям общего образования на выполнение муниципального задания ("МБОУ "ООШ п.Омсукчан")</t>
  </si>
  <si>
    <t>Субсидии муниципальным учреждениям спорта на выполнение муниципального задания ("МБУ "ОСОК п.Омсукчан")</t>
  </si>
  <si>
    <t>Субсидии муниципальным учреждениям спорта на выполнение муниципального задания ("МБУ ФОК "Жемчужина" п.Омсукчан")</t>
  </si>
  <si>
    <t>Субсидии муниципальным учреждениям спорта на выполнение муниципального задания ("МБУ "Спортивная школа п.Омсукчан")</t>
  </si>
  <si>
    <t>Целевые субсидии на присмотр и уход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</si>
  <si>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</si>
  <si>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</si>
  <si>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от 16.12.2019 года № 39</t>
  </si>
  <si>
    <t>Приложение № 3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</si>
  <si>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</si>
  <si>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</si>
  <si>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Приложение № 3.1.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</si>
  <si>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</si>
  <si>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2 02 25511 04 0000 150
</t>
  </si>
  <si>
    <t xml:space="preserve">Субсидии бюджетам городских округов на проведение комплексных кадастровых работ в отношении земельных участков, находящихся в государственной и (или) муниципальной собственности, в рамках реализации подпрограммы "Совершенствование системы управления в сфере имущественно-земельных отношений Магаданской области"
на 2019-2024 годы" государственной программы Магаданской
области "Управление государственным имуществом Магаданской
области" на 2019-2024 годы" на плановый период 2021 и 2022 годов
</t>
  </si>
  <si>
    <t>Субсидии бюджетам городских округов субсидий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2020 год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</si>
  <si>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</si>
  <si>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 xml:space="preserve">2 02 25081 00 0000 150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</si>
  <si>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</si>
  <si>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</si>
  <si>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</si>
  <si>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>57 1 P5 50810</t>
  </si>
  <si>
    <t>57 1 P5 00000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</si>
  <si>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</si>
  <si>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</si>
  <si>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</si>
  <si>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</si>
  <si>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</si>
  <si>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</si>
  <si>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</si>
  <si>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2020 год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</si>
  <si>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</si>
  <si>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2014-2024 годы" государственной программы Магаданской области" Развитие образования в Магаданской области" на 2014-2024 годы" 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</si>
  <si>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2014-2024 годы"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</si>
  <si>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</si>
  <si>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2014-2024 годы" государственной программы Магаданской области "Развитие образования в Магаданской области" на 2014-2024 годы"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</si>
  <si>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</si>
  <si>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</si>
  <si>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</si>
  <si>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 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</si>
  <si>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2015-2024 годы" государственной программы Магаданской области "Развитие физической культуры и спорта в Магаданской области" на 2014-2024 годы"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</si>
  <si>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2014-2024 годы" государственной программы Магаданской области "Развитие образования в Магаданской области" на 2014-2024 годы"</t>
  </si>
  <si>
    <t>Субвенции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</si>
  <si>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Субвенции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</si>
  <si>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 xml:space="preserve">Субсидии бюджетам городских округов на питание детей-инвалидов,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</si>
  <si>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02 0 06 01930</t>
  </si>
  <si>
    <t>Модернизация и укрепление материально-технической базы в области физической культуры и спорта</t>
  </si>
  <si>
    <t>Основное мероприятие " Модернизация и укрепление материально-технической базы в области физической культуры и спорта"</t>
  </si>
  <si>
    <t>Целевые субсидии муниципальным учреждениям на модернизацию и укрепление материально-технической базы в области физической культуры и спорта</t>
  </si>
  <si>
    <t xml:space="preserve">57 1 06 00000 </t>
  </si>
  <si>
    <t>57 1 06 S2150</t>
  </si>
  <si>
    <t>57 1 06 Z2150</t>
  </si>
  <si>
    <t>Прочие мероприятия в области национальной экономики</t>
  </si>
  <si>
    <t>02 0 02 01210</t>
  </si>
  <si>
    <t>Целевые субсидии муниципальным учреждениям на мероприятия по модернизации и укреплению материально-технической базы в области физической культуры и спорта</t>
  </si>
  <si>
    <t>Основное мероприятие "Модернизация и укрепление материально-технической базы в области физической культуры и спорта"</t>
  </si>
  <si>
    <t>Питание детей-инвалидов, обучающихся в общеобразовательных организациях</t>
  </si>
  <si>
    <t>52 3 05 S3443</t>
  </si>
  <si>
    <t>52 3 05 73433</t>
  </si>
  <si>
    <t>52 1 02 74010</t>
  </si>
  <si>
    <t>58 3 05 74010</t>
  </si>
  <si>
    <t>57 1 04 74010</t>
  </si>
  <si>
    <t xml:space="preserve">Субсидии бюджетам городских округов на реализацию мероприятий модернизации и укрепления материально-технической базы в области физической культуры и спорта в рамках подпрограммы "Обеспечение процесса физической подготовки и спорта"  государственной программы Магаданской области "Развитие физической культуры и спорта в Магаданской области"
</t>
  </si>
  <si>
    <t>58 1 04 74010</t>
  </si>
  <si>
    <t>58 2 05 74010</t>
  </si>
  <si>
    <t>Мероприятия, направленные на профилактику и устранение последствие распространения короновирусной инфекции</t>
  </si>
  <si>
    <t>02 0 02 01940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</si>
  <si>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</si>
  <si>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52 1 02 53030</t>
  </si>
  <si>
    <t>классное руководство</t>
  </si>
  <si>
    <t>2 02 45303 04 0000150</t>
  </si>
  <si>
    <t xml:space="preserve">
2 02 45303 00 0000 150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</si>
  <si>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</si>
  <si>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</si>
  <si>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2020 год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</si>
  <si>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2020 год</t>
  </si>
  <si>
    <t>52 3 E1 51691</t>
  </si>
  <si>
    <t>Обновление материально- технической базы для формирования  у обучающихся общеобразовательных организаций  современных технологических и гуманитарных навыков</t>
  </si>
  <si>
    <t xml:space="preserve">от  15.06.2020 года № </t>
  </si>
  <si>
    <t xml:space="preserve">от 15.06.2020 года №  </t>
  </si>
  <si>
    <t xml:space="preserve">от 15.06.2020 года № </t>
  </si>
  <si>
    <t>Обновление материально- технической базы для формирования у обучающихся общеобразовательных организаций современных технологических и гуманитарных навыков</t>
  </si>
  <si>
    <t>(059)</t>
  </si>
  <si>
    <t xml:space="preserve">Целевые субсидии на 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 </t>
  </si>
  <si>
    <t>Приложение № 6.1.</t>
  </si>
  <si>
    <t>Приложение № 7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</si>
  <si>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</si>
  <si>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План на 2020 год, тыс.руб.</t>
  </si>
  <si>
    <t>Исполнено за 1 полугодие 2020года, тыс.руб.</t>
  </si>
  <si>
    <t>Процент исполнения, %</t>
  </si>
  <si>
    <t>Исполнение поступления доходов в бюджет Омсукчанского городского огруга за 1 полугодие 2020 года</t>
  </si>
  <si>
    <t>Приложение № 2</t>
  </si>
  <si>
    <t>к постановлению</t>
  </si>
  <si>
    <t xml:space="preserve">Исполнение распределения бюджетных ассигнований по разделам и подразделам классификации </t>
  </si>
  <si>
    <t xml:space="preserve"> расходов бюджетов Российской Федерации за 1 полугодие 2020 года</t>
  </si>
  <si>
    <t xml:space="preserve">Исполнение ведомственной структуры расходов бюджета Омсукчанского городского округа за 1 полугодие 2020 года </t>
  </si>
  <si>
    <t xml:space="preserve"> Исполнение распределения бюджетных ассигнований, направляемых на реализацию муниципальных программ  Омсукчанского городского округа за 1 полугодие 2020 года</t>
  </si>
  <si>
    <t>Исполнение распределения ассигнований, направляемых на исполнение публичных нормативных обязательств                                   за 1 полугодие 2020 года</t>
  </si>
  <si>
    <t>бюджета Омсукчанского городского округа  за 1 полугодие 2020 года</t>
  </si>
  <si>
    <t xml:space="preserve">
1 16 01000 01 0000 140
</t>
  </si>
  <si>
    <t>Административные штрафы, установленные Кодексом Российской Федерации об административных правонарушениях</t>
  </si>
  <si>
    <t xml:space="preserve"> 1 16  01153 01 9000 140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</si>
  <si>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</si>
  <si>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</si>
  <si>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</si>
  <si>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1 16 101230010000140</t>
  </si>
  <si>
    <t>Доходы от денежных взысканий (штрафов), поступающие в счет погашения задолженности, образовавшейся до 1 января 2020 года</t>
  </si>
  <si>
    <t>1 16 101290010000140</t>
  </si>
  <si>
    <t>Штрафы поступающие в счет погашения задолженности, образовавшейся до 1 января 2020 года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</si>
  <si>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</si>
  <si>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</si>
  <si>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</si>
  <si>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</si>
  <si>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-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</si>
  <si>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</si>
  <si>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</si>
  <si>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</si>
  <si>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</si>
  <si>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по источникам внутреннего финансирования дефицита</t>
  </si>
  <si>
    <t>администрации</t>
  </si>
  <si>
    <t>городского округа</t>
  </si>
  <si>
    <t>от 10.07.2020г. № 308</t>
  </si>
  <si>
    <t>Исполнение распределения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за 1 полугодие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</si>
</sst>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164" fontId="17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/>
    <xf numFmtId="0" fontId="4" fillId="0" borderId="0" xfId="1" applyFont="1" applyFill="1" applyAlignment="1">
      <alignment horizont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4" fillId="0" borderId="2" xfId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0" borderId="2" xfId="1" applyFont="1" applyFill="1" applyBorder="1" applyAlignment="1">
      <alignment horizontal="justify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3" fillId="0" borderId="11" xfId="1" applyFont="1" applyFill="1" applyBorder="1" applyAlignment="1">
      <alignment horizontal="justify" vertical="center" wrapText="1"/>
    </xf>
    <xf numFmtId="0" fontId="4" fillId="0" borderId="2" xfId="1" applyFont="1" applyFill="1" applyBorder="1" applyAlignment="1">
      <alignment horizontal="left" vertical="center"/>
    </xf>
    <xf numFmtId="165" fontId="4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1" fontId="4" fillId="0" borderId="2" xfId="1" applyNumberFormat="1" applyFont="1" applyFill="1" applyBorder="1" applyAlignment="1">
      <alignment vertical="center" wrapText="1"/>
    </xf>
    <xf numFmtId="165" fontId="14" fillId="0" borderId="2" xfId="1" applyNumberFormat="1" applyFont="1" applyFill="1" applyBorder="1" applyAlignment="1">
      <alignment horizontal="center"/>
    </xf>
    <xf numFmtId="0" fontId="11" fillId="0" borderId="0" xfId="1" applyFill="1"/>
    <xf numFmtId="0" fontId="10" fillId="0" borderId="0" xfId="1" applyFont="1" applyFill="1"/>
    <xf numFmtId="4" fontId="15" fillId="0" borderId="0" xfId="1" applyNumberFormat="1" applyFont="1" applyFill="1" applyAlignment="1">
      <alignment horizontal="center"/>
    </xf>
    <xf numFmtId="0" fontId="10" fillId="0" borderId="0" xfId="1" applyFont="1" applyFill="1" applyAlignment="1"/>
    <xf numFmtId="1" fontId="10" fillId="0" borderId="0" xfId="1" applyNumberFormat="1" applyFont="1" applyFill="1"/>
    <xf numFmtId="2" fontId="10" fillId="0" borderId="0" xfId="1" applyNumberFormat="1" applyFont="1" applyFill="1"/>
    <xf numFmtId="0" fontId="11" fillId="0" borderId="0" xfId="0" applyFont="1" applyFill="1"/>
    <xf numFmtId="0" fontId="3" fillId="0" borderId="0" xfId="1" applyFont="1" applyFill="1"/>
    <xf numFmtId="0" fontId="4" fillId="0" borderId="2" xfId="0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4" fillId="0" borderId="2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6" fillId="0" borderId="2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2" fontId="3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4" fillId="0" borderId="2" xfId="0" applyFont="1" applyFill="1" applyBorder="1"/>
    <xf numFmtId="0" fontId="4" fillId="0" borderId="2" xfId="0" applyFont="1" applyBorder="1"/>
    <xf numFmtId="0" fontId="19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1" fillId="0" borderId="1" xfId="0" applyFont="1" applyBorder="1" applyAlignment="1">
      <alignment horizontal="right"/>
    </xf>
    <xf numFmtId="0" fontId="22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vertical="center"/>
    </xf>
    <xf numFmtId="165" fontId="4" fillId="4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165" fontId="10" fillId="0" borderId="0" xfId="1" applyNumberFormat="1" applyFont="1" applyFill="1"/>
    <xf numFmtId="2" fontId="16" fillId="0" borderId="0" xfId="1" applyNumberFormat="1" applyFont="1" applyFill="1"/>
    <xf numFmtId="2" fontId="0" fillId="0" borderId="0" xfId="0" applyNumberFormat="1" applyFill="1"/>
    <xf numFmtId="49" fontId="3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3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4" fillId="0" borderId="2" xfId="1" applyNumberFormat="1" applyFont="1" applyFill="1" applyBorder="1" applyAlignment="1">
      <alignment horizontal="center" vertical="center"/>
    </xf>
    <xf numFmtId="49" fontId="23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3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1" fillId="0" borderId="0" xfId="0" applyFont="1" applyFill="1" applyBorder="1"/>
    <xf numFmtId="165" fontId="0" fillId="0" borderId="0" xfId="0" applyNumberFormat="1" applyFill="1"/>
    <xf numFmtId="0" fontId="23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3" fillId="0" borderId="15" xfId="1" applyNumberFormat="1" applyFont="1" applyFill="1" applyBorder="1" applyAlignment="1">
      <alignment horizontal="left" vertical="center"/>
    </xf>
    <xf numFmtId="165" fontId="4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11" fillId="5" borderId="0" xfId="0" applyFont="1" applyFill="1" applyBorder="1"/>
    <xf numFmtId="0" fontId="27" fillId="5" borderId="0" xfId="0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/>
    <xf numFmtId="0" fontId="5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horizontal="justify" vertical="top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vertical="top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3" fillId="0" borderId="0" xfId="0" applyNumberFormat="1" applyFont="1" applyFill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/>
    <xf numFmtId="0" fontId="9" fillId="0" borderId="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15" fillId="0" borderId="0" xfId="0" applyNumberFormat="1" applyFont="1" applyFill="1" applyAlignment="1">
      <alignment horizontal="left"/>
    </xf>
    <xf numFmtId="165" fontId="3" fillId="6" borderId="2" xfId="1" applyNumberFormat="1" applyFont="1" applyFill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center" vertical="center"/>
    </xf>
    <xf numFmtId="165" fontId="3" fillId="6" borderId="2" xfId="1" applyNumberFormat="1" applyFont="1" applyFill="1" applyBorder="1" applyAlignment="1">
      <alignment horizontal="center" vertical="center" wrapText="1"/>
    </xf>
    <xf numFmtId="165" fontId="3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3" fillId="6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165" fontId="3" fillId="7" borderId="2" xfId="1" applyNumberFormat="1" applyFont="1" applyFill="1" applyBorder="1" applyAlignment="1">
      <alignment horizontal="center" vertical="center" wrapText="1"/>
    </xf>
    <xf numFmtId="165" fontId="3" fillId="8" borderId="2" xfId="1" applyNumberFormat="1" applyFont="1" applyFill="1" applyBorder="1" applyAlignment="1">
      <alignment horizontal="center" vertical="center"/>
    </xf>
    <xf numFmtId="0" fontId="3" fillId="7" borderId="2" xfId="1" applyFont="1" applyFill="1" applyBorder="1" applyAlignment="1">
      <alignment vertical="center" wrapText="1"/>
    </xf>
    <xf numFmtId="49" fontId="3" fillId="0" borderId="9" xfId="1" applyNumberFormat="1" applyFont="1" applyFill="1" applyBorder="1" applyAlignment="1">
      <alignment horizontal="left" vertical="center"/>
    </xf>
    <xf numFmtId="165" fontId="3" fillId="7" borderId="2" xfId="1" applyNumberFormat="1" applyFont="1" applyFill="1" applyBorder="1" applyAlignment="1">
      <alignment horizontal="center" vertical="center"/>
    </xf>
    <xf numFmtId="165" fontId="3" fillId="7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right" vertical="top" wrapText="1"/>
    </xf>
    <xf numFmtId="49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49" fontId="28" fillId="0" borderId="0" xfId="1" applyNumberFormat="1" applyFont="1" applyFill="1" applyBorder="1" applyAlignment="1">
      <alignment horizontal="center" vertical="center"/>
    </xf>
    <xf numFmtId="49" fontId="28" fillId="0" borderId="15" xfId="1" applyNumberFormat="1" applyFont="1" applyFill="1" applyBorder="1" applyAlignment="1">
      <alignment horizontal="center" vertical="center"/>
    </xf>
    <xf numFmtId="0" fontId="29" fillId="9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0" fillId="0" borderId="0" xfId="0" applyFont="1" applyFill="1"/>
    <xf numFmtId="0" fontId="3" fillId="0" borderId="2" xfId="0" applyFont="1" applyFill="1" applyBorder="1" applyAlignment="1">
      <alignment horizontal="left" vertical="top" wrapText="1"/>
    </xf>
    <xf numFmtId="165" fontId="30" fillId="0" borderId="0" xfId="0" applyNumberFormat="1" applyFont="1" applyFill="1"/>
    <xf numFmtId="0" fontId="23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49" fontId="21" fillId="0" borderId="2" xfId="1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top" wrapText="1"/>
    </xf>
    <xf numFmtId="165" fontId="14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165" fontId="15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4" fillId="0" borderId="2" xfId="0" applyNumberFormat="1" applyFont="1" applyFill="1" applyBorder="1" applyAlignment="1">
      <alignment vertical="top" wrapText="1"/>
    </xf>
    <xf numFmtId="0" fontId="34" fillId="0" borderId="0" xfId="0" applyFont="1"/>
    <xf numFmtId="0" fontId="15" fillId="0" borderId="0" xfId="0" applyNumberFormat="1" applyFont="1" applyFill="1" applyAlignment="1">
      <alignment horizontal="right"/>
    </xf>
    <xf numFmtId="0" fontId="3" fillId="0" borderId="3" xfId="1" applyNumberFormat="1" applyFont="1" applyFill="1" applyBorder="1" applyAlignment="1">
      <alignment horizontal="left" vertical="top" wrapText="1"/>
    </xf>
    <xf numFmtId="49" fontId="4" fillId="0" borderId="2" xfId="1" applyNumberFormat="1" applyFont="1" applyFill="1" applyBorder="1" applyAlignment="1">
      <alignment horizontal="left" vertical="center" wrapText="1"/>
    </xf>
    <xf numFmtId="165" fontId="14" fillId="0" borderId="11" xfId="0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left" vertical="top" wrapText="1"/>
    </xf>
    <xf numFmtId="0" fontId="11" fillId="0" borderId="0" xfId="1" applyNumberFormat="1" applyFill="1"/>
    <xf numFmtId="49" fontId="3" fillId="0" borderId="2" xfId="1" applyNumberFormat="1" applyFont="1" applyFill="1" applyBorder="1" applyAlignment="1">
      <alignment horizontal="left" vertical="center" wrapText="1"/>
    </xf>
    <xf numFmtId="0" fontId="34" fillId="0" borderId="0" xfId="0" applyNumberFormat="1" applyFont="1" applyFill="1"/>
    <xf numFmtId="165" fontId="34" fillId="0" borderId="0" xfId="0" applyNumberFormat="1" applyFont="1" applyFill="1"/>
    <xf numFmtId="0" fontId="35" fillId="0" borderId="0" xfId="0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165" fontId="0" fillId="0" borderId="0" xfId="0" applyNumberFormat="1" applyFont="1" applyFill="1"/>
    <xf numFmtId="0" fontId="12" fillId="0" borderId="2" xfId="0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165" fontId="14" fillId="0" borderId="0" xfId="0" applyNumberFormat="1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4" fontId="15" fillId="2" borderId="0" xfId="1" applyNumberFormat="1" applyFont="1" applyFill="1" applyAlignment="1">
      <alignment horizontal="center"/>
    </xf>
    <xf numFmtId="165" fontId="13" fillId="0" borderId="2" xfId="1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left" vertical="center" wrapText="1"/>
    </xf>
    <xf numFmtId="0" fontId="38" fillId="0" borderId="3" xfId="0" applyFont="1" applyFill="1" applyBorder="1" applyAlignment="1">
      <alignment horizontal="left" vertical="center" wrapText="1"/>
    </xf>
    <xf numFmtId="0" fontId="36" fillId="0" borderId="2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horizontal="justify" vertical="center" wrapText="1"/>
    </xf>
    <xf numFmtId="0" fontId="4" fillId="0" borderId="2" xfId="1" applyFont="1" applyFill="1" applyBorder="1" applyAlignment="1">
      <alignment vertical="top" wrapText="1"/>
    </xf>
    <xf numFmtId="0" fontId="36" fillId="0" borderId="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9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top" wrapText="1"/>
    </xf>
    <xf numFmtId="0" fontId="36" fillId="0" borderId="2" xfId="0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0" fontId="18" fillId="0" borderId="2" xfId="0" applyFont="1" applyFill="1" applyBorder="1"/>
    <xf numFmtId="0" fontId="13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3" fillId="3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center" wrapText="1"/>
    </xf>
    <xf numFmtId="165" fontId="3" fillId="4" borderId="2" xfId="1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right"/>
    </xf>
    <xf numFmtId="4" fontId="0" fillId="0" borderId="0" xfId="0" applyNumberFormat="1" applyFill="1"/>
    <xf numFmtId="165" fontId="15" fillId="10" borderId="0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4" fontId="0" fillId="0" borderId="0" xfId="0" applyNumberFormat="1"/>
    <xf numFmtId="4" fontId="18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horizontal="center" wrapText="1"/>
    </xf>
    <xf numFmtId="0" fontId="20" fillId="0" borderId="2" xfId="0" applyFont="1" applyFill="1" applyBorder="1"/>
    <xf numFmtId="0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vertical="center" wrapText="1"/>
    </xf>
    <xf numFmtId="0" fontId="4" fillId="0" borderId="0" xfId="3" applyFont="1" applyFill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4" fillId="0" borderId="2" xfId="3" applyFont="1" applyFill="1" applyBorder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37" fillId="0" borderId="3" xfId="0" applyFont="1" applyFill="1" applyBorder="1" applyAlignment="1">
      <alignment horizontal="right" wrapText="1"/>
    </xf>
    <xf numFmtId="0" fontId="4" fillId="0" borderId="0" xfId="1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center" wrapText="1"/>
    </xf>
    <xf numFmtId="165" fontId="3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13" xfId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0" fillId="7" borderId="0" xfId="0" applyFill="1"/>
    <xf numFmtId="0" fontId="4" fillId="0" borderId="8" xfId="0" applyNumberFormat="1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 wrapText="1"/>
    </xf>
    <xf numFmtId="165" fontId="14" fillId="0" borderId="8" xfId="0" applyNumberFormat="1" applyFont="1" applyFill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165" fontId="4" fillId="0" borderId="2" xfId="1" applyNumberFormat="1" applyFont="1" applyFill="1" applyBorder="1" applyAlignment="1">
      <alignment horizontal="center"/>
    </xf>
    <xf numFmtId="165" fontId="15" fillId="0" borderId="2" xfId="1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33" fillId="0" borderId="2" xfId="0" applyNumberFormat="1" applyFont="1" applyFill="1" applyBorder="1" applyAlignment="1">
      <alignment horizontal="center" vertical="center" wrapText="1"/>
    </xf>
    <xf numFmtId="165" fontId="33" fillId="0" borderId="2" xfId="0" applyNumberFormat="1" applyFont="1" applyFill="1" applyBorder="1" applyAlignment="1">
      <alignment horizontal="center" vertical="center"/>
    </xf>
    <xf numFmtId="165" fontId="41" fillId="0" borderId="2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5" fillId="0" borderId="9" xfId="0" applyNumberFormat="1" applyFont="1" applyFill="1" applyBorder="1" applyAlignment="1">
      <alignment horizontal="center" vertical="center"/>
    </xf>
    <xf numFmtId="165" fontId="39" fillId="0" borderId="2" xfId="0" applyNumberFormat="1" applyFont="1" applyFill="1" applyBorder="1" applyAlignment="1">
      <alignment horizontal="center"/>
    </xf>
    <xf numFmtId="165" fontId="3" fillId="0" borderId="0" xfId="0" applyNumberFormat="1" applyFont="1" applyFill="1" applyAlignment="1">
      <alignment horizontal="right"/>
    </xf>
    <xf numFmtId="165" fontId="31" fillId="0" borderId="0" xfId="0" applyNumberFormat="1" applyFont="1" applyFill="1" applyAlignment="1">
      <alignment horizontal="center"/>
    </xf>
    <xf numFmtId="165" fontId="3" fillId="0" borderId="8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4" fillId="0" borderId="2" xfId="2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 wrapText="1"/>
    </xf>
    <xf numFmtId="165" fontId="32" fillId="0" borderId="2" xfId="0" applyNumberFormat="1" applyFont="1" applyBorder="1" applyAlignment="1">
      <alignment horizontal="center" vertical="center"/>
    </xf>
    <xf numFmtId="165" fontId="32" fillId="0" borderId="2" xfId="0" applyNumberFormat="1" applyFont="1" applyFill="1" applyBorder="1" applyAlignment="1">
      <alignment horizontal="center" vertical="center"/>
    </xf>
    <xf numFmtId="165" fontId="18" fillId="0" borderId="2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top" wrapText="1"/>
    </xf>
    <xf numFmtId="0" fontId="2" fillId="0" borderId="0" xfId="0" applyNumberFormat="1" applyFont="1" applyFill="1"/>
    <xf numFmtId="165" fontId="14" fillId="0" borderId="9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Alignment="1">
      <alignment vertical="center"/>
    </xf>
    <xf numFmtId="4" fontId="10" fillId="0" borderId="0" xfId="1" applyNumberFormat="1" applyFont="1" applyFill="1"/>
    <xf numFmtId="165" fontId="11" fillId="0" borderId="0" xfId="1" applyNumberFormat="1" applyFill="1"/>
    <xf numFmtId="0" fontId="15" fillId="0" borderId="0" xfId="1" applyFont="1" applyFill="1" applyAlignment="1">
      <alignment horizontal="right"/>
    </xf>
    <xf numFmtId="165" fontId="15" fillId="7" borderId="11" xfId="0" applyNumberFormat="1" applyFont="1" applyFill="1" applyBorder="1" applyAlignment="1">
      <alignment horizontal="center" vertical="center"/>
    </xf>
    <xf numFmtId="0" fontId="11" fillId="0" borderId="0" xfId="1" applyNumberFormat="1" applyFill="1" applyAlignment="1">
      <alignment vertical="center"/>
    </xf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" fillId="0" borderId="0" xfId="0" applyFont="1" applyFill="1"/>
    <xf numFmtId="0" fontId="3" fillId="0" borderId="8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65" fontId="21" fillId="0" borderId="0" xfId="0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left" vertical="top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0" fontId="13" fillId="0" borderId="0" xfId="0" applyFont="1"/>
    <xf numFmtId="49" fontId="0" fillId="0" borderId="0" xfId="0" applyNumberFormat="1" applyFill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NumberFormat="1" applyFill="1"/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65" fontId="14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0" fontId="34" fillId="0" borderId="0" xfId="0" applyNumberFormat="1" applyFont="1" applyFill="1"/>
    <xf numFmtId="49" fontId="4" fillId="0" borderId="2" xfId="1" applyNumberFormat="1" applyFont="1" applyFill="1" applyBorder="1" applyAlignment="1">
      <alignment horizontal="left" vertical="top" wrapText="1"/>
    </xf>
    <xf numFmtId="49" fontId="3" fillId="0" borderId="8" xfId="1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4" fillId="0" borderId="0" xfId="0" applyNumberFormat="1" applyFont="1" applyFill="1" applyAlignment="1">
      <alignment horizont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70"/>
  <sheetViews>
    <sheetView view="pageBreakPreview" zoomScale="75" zoomScaleNormal="95" zoomScaleSheetLayoutView="75" workbookViewId="0">
      <selection activeCell="D1" sqref="D1:D5"/>
    </sheetView>
  </sheetViews>
  <sheetFormatPr defaultRowHeight="15" x14ac:dyDescent="0.25"/>
  <cols>
    <col min="1" max="1" width="25.140625" style="129" customWidth="1"/>
    <col min="2" max="2" width="77.5703125" style="129" customWidth="1"/>
    <col min="3" max="4" width="16.28515625" style="129" customWidth="1"/>
    <col min="5" max="5" width="12.7109375" style="129" customWidth="1"/>
    <col min="6" max="6" width="11.85546875" style="129" customWidth="1"/>
    <col min="7" max="7" width="12.5703125" style="129" customWidth="1"/>
    <col min="8" max="8" width="11.85546875" style="129" customWidth="1"/>
    <col min="9" max="9" width="15" style="129" customWidth="1"/>
    <col min="10" max="10" width="15.85546875" style="129" customWidth="1"/>
    <col min="11" max="11" width="9.140625" style="129"/>
    <col min="12" max="12" width="17" style="129" customWidth="1"/>
    <col min="13" max="16384" width="9.140625" style="129"/>
  </cols>
  <sheetData>
    <row r="1" spans="1:10" ht="15.75" x14ac:dyDescent="0.25">
      <c r="C1" s="130"/>
      <c r="D1" s="380" t="s">
        <v>0</v>
      </c>
    </row>
    <row r="2" spans="1:10" ht="15.75" x14ac:dyDescent="0.25">
      <c r="C2" s="130"/>
      <c r="D2" s="381" t="s">
        <v>1552</v>
      </c>
    </row>
    <row r="3" spans="1:10" ht="15.75" x14ac:dyDescent="0.25">
      <c r="B3" s="131"/>
      <c r="C3" s="130"/>
      <c r="D3" s="381" t="s">
        <v>1579</v>
      </c>
    </row>
    <row r="4" spans="1:10" s="369" customFormat="1" ht="15.75" x14ac:dyDescent="0.25">
      <c r="B4" s="131"/>
      <c r="C4" s="130"/>
      <c r="D4" s="381" t="s">
        <v>1580</v>
      </c>
    </row>
    <row r="5" spans="1:10" s="369" customFormat="1" ht="15.75" x14ac:dyDescent="0.25">
      <c r="B5" s="131"/>
      <c r="C5" s="130"/>
      <c r="D5" s="381" t="s">
        <v>1581</v>
      </c>
    </row>
    <row r="6" spans="1:10" ht="15.75" x14ac:dyDescent="0.25">
      <c r="B6" s="131"/>
      <c r="C6" s="130"/>
      <c r="D6" s="378"/>
      <c r="E6" s="378"/>
    </row>
    <row r="7" spans="1:10" ht="15.75" x14ac:dyDescent="0.25">
      <c r="A7" s="382" t="s">
        <v>1550</v>
      </c>
      <c r="B7" s="382"/>
      <c r="C7" s="382"/>
      <c r="D7" s="382"/>
      <c r="E7" s="382"/>
    </row>
    <row r="8" spans="1:10" ht="15.75" x14ac:dyDescent="0.25">
      <c r="A8" s="382"/>
      <c r="B8" s="382"/>
      <c r="C8" s="382"/>
    </row>
    <row r="9" spans="1:10" ht="63" x14ac:dyDescent="0.25">
      <c r="A9" s="133" t="s">
        <v>3</v>
      </c>
      <c r="B9" s="134" t="s">
        <v>4</v>
      </c>
      <c r="C9" s="215" t="s">
        <v>1547</v>
      </c>
      <c r="D9" s="215" t="s">
        <v>1548</v>
      </c>
      <c r="E9" s="215" t="s">
        <v>1549</v>
      </c>
    </row>
    <row r="10" spans="1:10" ht="18.75" x14ac:dyDescent="0.25">
      <c r="A10" s="135" t="s">
        <v>6</v>
      </c>
      <c r="B10" s="136" t="s">
        <v>7</v>
      </c>
      <c r="C10" s="189">
        <f>C11+C17+C22+C32+C40+C43+C49+C56+C59+C64+C72</f>
        <v>297109.8</v>
      </c>
      <c r="D10" s="189">
        <f>D11+D17+D22+D32+D40+D43+D49+D56+D59+D64+D72+D80</f>
        <v>159580.12599999999</v>
      </c>
      <c r="E10" s="189">
        <f>D10/C10*100</f>
        <v>53.710825425482433</v>
      </c>
      <c r="G10" s="116"/>
      <c r="J10" s="116"/>
    </row>
    <row r="11" spans="1:10" ht="18.75" x14ac:dyDescent="0.25">
      <c r="A11" s="137" t="s">
        <v>8</v>
      </c>
      <c r="B11" s="136" t="s">
        <v>9</v>
      </c>
      <c r="C11" s="189">
        <f>C12</f>
        <v>218445.8</v>
      </c>
      <c r="D11" s="189">
        <f t="shared" ref="D11" si="0">D12</f>
        <v>116714.70000000001</v>
      </c>
      <c r="E11" s="189">
        <f t="shared" ref="E11:E74" si="1">D11/C11*100</f>
        <v>53.429592145969394</v>
      </c>
      <c r="F11" s="116"/>
      <c r="G11" s="116"/>
      <c r="H11" s="116"/>
      <c r="I11" s="116"/>
      <c r="J11" s="116"/>
    </row>
    <row r="12" spans="1:10" ht="18.75" x14ac:dyDescent="0.25">
      <c r="A12" s="138" t="s">
        <v>10</v>
      </c>
      <c r="B12" s="139" t="s">
        <v>11</v>
      </c>
      <c r="C12" s="189">
        <f>SUM(C13:C16)</f>
        <v>218445.8</v>
      </c>
      <c r="D12" s="189">
        <f t="shared" ref="D12" si="2">SUM(D13:D16)</f>
        <v>116714.70000000001</v>
      </c>
      <c r="E12" s="189">
        <f t="shared" si="1"/>
        <v>53.429592145969394</v>
      </c>
      <c r="F12" s="116"/>
      <c r="G12" s="116"/>
      <c r="H12" s="116"/>
      <c r="I12" s="116"/>
      <c r="J12" s="116"/>
    </row>
    <row r="13" spans="1:10" ht="63" x14ac:dyDescent="0.25">
      <c r="A13" s="215" t="s">
        <v>12</v>
      </c>
      <c r="B13" s="140" t="s">
        <v>13</v>
      </c>
      <c r="C13" s="190">
        <v>217809</v>
      </c>
      <c r="D13" s="190">
        <v>116331.14</v>
      </c>
      <c r="E13" s="190">
        <f t="shared" si="1"/>
        <v>53.409702996662212</v>
      </c>
    </row>
    <row r="14" spans="1:10" ht="94.5" x14ac:dyDescent="0.25">
      <c r="A14" s="215" t="s">
        <v>14</v>
      </c>
      <c r="B14" s="141" t="s">
        <v>15</v>
      </c>
      <c r="C14" s="190">
        <v>18.3</v>
      </c>
      <c r="D14" s="190">
        <v>-15.12</v>
      </c>
      <c r="E14" s="190">
        <f t="shared" si="1"/>
        <v>-82.622950819672127</v>
      </c>
    </row>
    <row r="15" spans="1:10" ht="36.75" customHeight="1" x14ac:dyDescent="0.25">
      <c r="A15" s="215" t="s">
        <v>16</v>
      </c>
      <c r="B15" s="141" t="s">
        <v>17</v>
      </c>
      <c r="C15" s="190">
        <v>595.9</v>
      </c>
      <c r="D15" s="190">
        <v>228.41</v>
      </c>
      <c r="E15" s="190">
        <f t="shared" si="1"/>
        <v>38.330256754489014</v>
      </c>
    </row>
    <row r="16" spans="1:10" ht="78.75" x14ac:dyDescent="0.25">
      <c r="A16" s="215" t="s">
        <v>18</v>
      </c>
      <c r="B16" s="141" t="s">
        <v>19</v>
      </c>
      <c r="C16" s="190">
        <v>22.6</v>
      </c>
      <c r="D16" s="190">
        <v>170.27</v>
      </c>
      <c r="E16" s="190">
        <f t="shared" si="1"/>
        <v>753.40707964601768</v>
      </c>
    </row>
    <row r="17" spans="1:6" ht="31.5" x14ac:dyDescent="0.25">
      <c r="A17" s="142" t="s">
        <v>20</v>
      </c>
      <c r="B17" s="143" t="s">
        <v>21</v>
      </c>
      <c r="C17" s="189">
        <f t="shared" ref="C17:D17" si="3">C18</f>
        <v>3446</v>
      </c>
      <c r="D17" s="189">
        <f t="shared" si="3"/>
        <v>1401.5550000000001</v>
      </c>
      <c r="E17" s="189">
        <f t="shared" si="1"/>
        <v>40.671938479396402</v>
      </c>
    </row>
    <row r="18" spans="1:6" ht="31.5" x14ac:dyDescent="0.25">
      <c r="A18" s="187" t="s">
        <v>22</v>
      </c>
      <c r="B18" s="188" t="s">
        <v>23</v>
      </c>
      <c r="C18" s="189">
        <f t="shared" ref="C18:D18" si="4">SUM(C19:C21)</f>
        <v>3446</v>
      </c>
      <c r="D18" s="189">
        <f t="shared" si="4"/>
        <v>1401.5550000000001</v>
      </c>
      <c r="E18" s="189">
        <f t="shared" si="1"/>
        <v>40.671938479396402</v>
      </c>
    </row>
    <row r="19" spans="1:6" ht="63" x14ac:dyDescent="0.25">
      <c r="A19" s="144" t="s">
        <v>24</v>
      </c>
      <c r="B19" s="141" t="s">
        <v>25</v>
      </c>
      <c r="C19" s="190">
        <v>1579</v>
      </c>
      <c r="D19" s="190">
        <v>664.03</v>
      </c>
      <c r="E19" s="190">
        <f t="shared" si="1"/>
        <v>42.0538315389487</v>
      </c>
    </row>
    <row r="20" spans="1:6" ht="78.75" x14ac:dyDescent="0.25">
      <c r="A20" s="288" t="s">
        <v>26</v>
      </c>
      <c r="B20" s="141" t="s">
        <v>27</v>
      </c>
      <c r="C20" s="190">
        <v>9</v>
      </c>
      <c r="D20" s="190">
        <v>4.34</v>
      </c>
      <c r="E20" s="190">
        <f t="shared" si="1"/>
        <v>48.222222222222221</v>
      </c>
    </row>
    <row r="21" spans="1:6" ht="63" x14ac:dyDescent="0.25">
      <c r="A21" s="288" t="s">
        <v>28</v>
      </c>
      <c r="B21" s="141" t="s">
        <v>29</v>
      </c>
      <c r="C21" s="303">
        <v>1858</v>
      </c>
      <c r="D21" s="303">
        <f>865.35-132.165</f>
        <v>733.18500000000006</v>
      </c>
      <c r="E21" s="190">
        <f t="shared" si="1"/>
        <v>39.460979547900969</v>
      </c>
    </row>
    <row r="22" spans="1:6" ht="18.75" x14ac:dyDescent="0.25">
      <c r="A22" s="138" t="s">
        <v>30</v>
      </c>
      <c r="B22" s="139" t="s">
        <v>31</v>
      </c>
      <c r="C22" s="189">
        <f>SUM(C23+C28+C30)</f>
        <v>24666</v>
      </c>
      <c r="D22" s="189">
        <f t="shared" ref="D22" si="5">SUM(D23+D28+D30)</f>
        <v>8465.9670000000006</v>
      </c>
      <c r="E22" s="189">
        <f t="shared" si="1"/>
        <v>34.322415470688398</v>
      </c>
      <c r="F22" s="213"/>
    </row>
    <row r="23" spans="1:6" ht="31.5" x14ac:dyDescent="0.25">
      <c r="A23" s="135" t="s">
        <v>32</v>
      </c>
      <c r="B23" s="139" t="s">
        <v>33</v>
      </c>
      <c r="C23" s="189">
        <f>C24+C26</f>
        <v>14478</v>
      </c>
      <c r="D23" s="189">
        <f t="shared" ref="D23" si="6">D24+D26</f>
        <v>3785.4719999999998</v>
      </c>
      <c r="E23" s="189">
        <f t="shared" si="1"/>
        <v>26.146373808537088</v>
      </c>
    </row>
    <row r="24" spans="1:6" ht="31.5" x14ac:dyDescent="0.25">
      <c r="A24" s="135" t="s">
        <v>1322</v>
      </c>
      <c r="B24" s="223" t="s">
        <v>35</v>
      </c>
      <c r="C24" s="189">
        <f>C25</f>
        <v>7239</v>
      </c>
      <c r="D24" s="189">
        <f t="shared" ref="D24" si="7">D25</f>
        <v>1849.9739999999999</v>
      </c>
      <c r="E24" s="189">
        <f t="shared" si="1"/>
        <v>25.555656858682134</v>
      </c>
    </row>
    <row r="25" spans="1:6" ht="31.5" x14ac:dyDescent="0.25">
      <c r="A25" s="133" t="s">
        <v>34</v>
      </c>
      <c r="B25" s="99" t="s">
        <v>35</v>
      </c>
      <c r="C25" s="190">
        <f>14478/2</f>
        <v>7239</v>
      </c>
      <c r="D25" s="190">
        <v>1849.9739999999999</v>
      </c>
      <c r="E25" s="190">
        <f t="shared" si="1"/>
        <v>25.555656858682134</v>
      </c>
    </row>
    <row r="26" spans="1:6" ht="36.75" customHeight="1" x14ac:dyDescent="0.25">
      <c r="A26" s="135" t="s">
        <v>1321</v>
      </c>
      <c r="B26" s="262" t="s">
        <v>1320</v>
      </c>
      <c r="C26" s="189">
        <f>C27</f>
        <v>7239</v>
      </c>
      <c r="D26" s="189">
        <f t="shared" ref="D26" si="8">D27</f>
        <v>1935.498</v>
      </c>
      <c r="E26" s="189">
        <f t="shared" si="1"/>
        <v>26.737090758392046</v>
      </c>
    </row>
    <row r="27" spans="1:6" ht="63" x14ac:dyDescent="0.25">
      <c r="A27" s="133" t="s">
        <v>36</v>
      </c>
      <c r="B27" s="145" t="s">
        <v>37</v>
      </c>
      <c r="C27" s="190">
        <v>7239</v>
      </c>
      <c r="D27" s="190">
        <v>1935.498</v>
      </c>
      <c r="E27" s="190">
        <f t="shared" si="1"/>
        <v>26.737090758392046</v>
      </c>
    </row>
    <row r="28" spans="1:6" ht="18.75" x14ac:dyDescent="0.25">
      <c r="A28" s="135" t="s">
        <v>38</v>
      </c>
      <c r="B28" s="148" t="s">
        <v>39</v>
      </c>
      <c r="C28" s="189">
        <f t="shared" ref="C28:D28" si="9">SUM(C29:C29)</f>
        <v>9841</v>
      </c>
      <c r="D28" s="189">
        <f t="shared" si="9"/>
        <v>4296.8710000000001</v>
      </c>
      <c r="E28" s="189">
        <f t="shared" si="1"/>
        <v>43.662950919621991</v>
      </c>
    </row>
    <row r="29" spans="1:6" ht="18.75" x14ac:dyDescent="0.25">
      <c r="A29" s="215" t="s">
        <v>40</v>
      </c>
      <c r="B29" s="140" t="s">
        <v>39</v>
      </c>
      <c r="C29" s="190">
        <v>9841</v>
      </c>
      <c r="D29" s="190">
        <v>4296.8710000000001</v>
      </c>
      <c r="E29" s="190">
        <f t="shared" si="1"/>
        <v>43.662950919621991</v>
      </c>
    </row>
    <row r="30" spans="1:6" ht="31.5" x14ac:dyDescent="0.25">
      <c r="A30" s="135" t="s">
        <v>1336</v>
      </c>
      <c r="B30" s="146" t="s">
        <v>1323</v>
      </c>
      <c r="C30" s="189">
        <f>C31</f>
        <v>347</v>
      </c>
      <c r="D30" s="189">
        <f t="shared" ref="D30" si="10">D31</f>
        <v>383.62400000000002</v>
      </c>
      <c r="E30" s="189">
        <f t="shared" si="1"/>
        <v>110.55446685878962</v>
      </c>
    </row>
    <row r="31" spans="1:6" ht="31.5" x14ac:dyDescent="0.25">
      <c r="A31" s="133" t="s">
        <v>41</v>
      </c>
      <c r="B31" s="253" t="s">
        <v>42</v>
      </c>
      <c r="C31" s="190">
        <v>347</v>
      </c>
      <c r="D31" s="190">
        <v>383.62400000000002</v>
      </c>
      <c r="E31" s="190">
        <f t="shared" si="1"/>
        <v>110.55446685878962</v>
      </c>
    </row>
    <row r="32" spans="1:6" ht="18.75" x14ac:dyDescent="0.25">
      <c r="A32" s="138" t="s">
        <v>43</v>
      </c>
      <c r="B32" s="139" t="s">
        <v>44</v>
      </c>
      <c r="C32" s="189">
        <f t="shared" ref="C32:D32" si="11">C33+C35</f>
        <v>1144</v>
      </c>
      <c r="D32" s="189">
        <f t="shared" si="11"/>
        <v>421.51799999999997</v>
      </c>
      <c r="E32" s="189">
        <f t="shared" si="1"/>
        <v>36.845979020979023</v>
      </c>
    </row>
    <row r="33" spans="1:6" ht="18.75" x14ac:dyDescent="0.25">
      <c r="A33" s="138" t="s">
        <v>45</v>
      </c>
      <c r="B33" s="139" t="s">
        <v>46</v>
      </c>
      <c r="C33" s="189">
        <f t="shared" ref="C33:D33" si="12">C34</f>
        <v>811</v>
      </c>
      <c r="D33" s="189">
        <f t="shared" si="12"/>
        <v>95.216999999999999</v>
      </c>
      <c r="E33" s="189">
        <f t="shared" si="1"/>
        <v>11.740690505548706</v>
      </c>
    </row>
    <row r="34" spans="1:6" ht="38.25" customHeight="1" x14ac:dyDescent="0.25">
      <c r="A34" s="215" t="s">
        <v>47</v>
      </c>
      <c r="B34" s="145" t="s">
        <v>48</v>
      </c>
      <c r="C34" s="190">
        <v>811</v>
      </c>
      <c r="D34" s="190">
        <v>95.216999999999999</v>
      </c>
      <c r="E34" s="190">
        <f t="shared" si="1"/>
        <v>11.740690505548706</v>
      </c>
    </row>
    <row r="35" spans="1:6" ht="18.75" x14ac:dyDescent="0.25">
      <c r="A35" s="138" t="s">
        <v>49</v>
      </c>
      <c r="B35" s="139" t="s">
        <v>50</v>
      </c>
      <c r="C35" s="189">
        <f>C36+C38</f>
        <v>333</v>
      </c>
      <c r="D35" s="189">
        <f t="shared" ref="D35" si="13">D36+D38</f>
        <v>326.30099999999999</v>
      </c>
      <c r="E35" s="189">
        <f t="shared" si="1"/>
        <v>97.988288288288288</v>
      </c>
    </row>
    <row r="36" spans="1:6" ht="18.75" x14ac:dyDescent="0.25">
      <c r="A36" s="138" t="s">
        <v>1338</v>
      </c>
      <c r="B36" s="139" t="s">
        <v>1337</v>
      </c>
      <c r="C36" s="189">
        <f>C37</f>
        <v>178</v>
      </c>
      <c r="D36" s="189">
        <f t="shared" ref="D36" si="14">D37</f>
        <v>312.01</v>
      </c>
      <c r="E36" s="189">
        <f t="shared" si="1"/>
        <v>175.28651685393257</v>
      </c>
    </row>
    <row r="37" spans="1:6" ht="31.5" x14ac:dyDescent="0.25">
      <c r="A37" s="215" t="s">
        <v>51</v>
      </c>
      <c r="B37" s="145" t="s">
        <v>52</v>
      </c>
      <c r="C37" s="190">
        <v>178</v>
      </c>
      <c r="D37" s="190">
        <v>312.01</v>
      </c>
      <c r="E37" s="190">
        <f t="shared" si="1"/>
        <v>175.28651685393257</v>
      </c>
    </row>
    <row r="38" spans="1:6" ht="18.75" x14ac:dyDescent="0.25">
      <c r="A38" s="138" t="s">
        <v>1340</v>
      </c>
      <c r="B38" s="139" t="s">
        <v>1339</v>
      </c>
      <c r="C38" s="189">
        <f>C39</f>
        <v>155</v>
      </c>
      <c r="D38" s="189">
        <f t="shared" ref="D38" si="15">D39</f>
        <v>14.291</v>
      </c>
      <c r="E38" s="189">
        <f t="shared" si="1"/>
        <v>9.2200000000000006</v>
      </c>
    </row>
    <row r="39" spans="1:6" ht="31.5" x14ac:dyDescent="0.25">
      <c r="A39" s="215" t="s">
        <v>53</v>
      </c>
      <c r="B39" s="145" t="s">
        <v>54</v>
      </c>
      <c r="C39" s="190">
        <v>155</v>
      </c>
      <c r="D39" s="190">
        <v>14.291</v>
      </c>
      <c r="E39" s="190">
        <f t="shared" si="1"/>
        <v>9.2200000000000006</v>
      </c>
    </row>
    <row r="40" spans="1:6" ht="18.75" x14ac:dyDescent="0.25">
      <c r="A40" s="138" t="s">
        <v>55</v>
      </c>
      <c r="B40" s="139" t="s">
        <v>56</v>
      </c>
      <c r="C40" s="189">
        <f t="shared" ref="C40:D41" si="16">C41</f>
        <v>1474</v>
      </c>
      <c r="D40" s="189">
        <f t="shared" si="16"/>
        <v>551.55999999999995</v>
      </c>
      <c r="E40" s="189">
        <f t="shared" si="1"/>
        <v>37.419267299864309</v>
      </c>
    </row>
    <row r="41" spans="1:6" ht="31.5" x14ac:dyDescent="0.25">
      <c r="A41" s="138" t="s">
        <v>57</v>
      </c>
      <c r="B41" s="139" t="s">
        <v>58</v>
      </c>
      <c r="C41" s="189">
        <f t="shared" si="16"/>
        <v>1474</v>
      </c>
      <c r="D41" s="189">
        <f t="shared" si="16"/>
        <v>551.55999999999995</v>
      </c>
      <c r="E41" s="189">
        <f t="shared" si="1"/>
        <v>37.419267299864309</v>
      </c>
    </row>
    <row r="42" spans="1:6" ht="47.25" x14ac:dyDescent="0.25">
      <c r="A42" s="215" t="s">
        <v>59</v>
      </c>
      <c r="B42" s="140" t="s">
        <v>60</v>
      </c>
      <c r="C42" s="190">
        <v>1474</v>
      </c>
      <c r="D42" s="190">
        <v>551.55999999999995</v>
      </c>
      <c r="E42" s="190">
        <f t="shared" si="1"/>
        <v>37.419267299864309</v>
      </c>
    </row>
    <row r="43" spans="1:6" ht="31.5" x14ac:dyDescent="0.25">
      <c r="A43" s="138" t="s">
        <v>61</v>
      </c>
      <c r="B43" s="147" t="s">
        <v>62</v>
      </c>
      <c r="C43" s="189">
        <f t="shared" ref="C43:D43" si="17">C44</f>
        <v>43000</v>
      </c>
      <c r="D43" s="189">
        <f t="shared" si="17"/>
        <v>22101.442000000003</v>
      </c>
      <c r="E43" s="189">
        <f t="shared" si="1"/>
        <v>51.398702325581404</v>
      </c>
      <c r="F43" s="116"/>
    </row>
    <row r="44" spans="1:6" ht="78.75" x14ac:dyDescent="0.25">
      <c r="A44" s="138" t="s">
        <v>63</v>
      </c>
      <c r="B44" s="147" t="s">
        <v>64</v>
      </c>
      <c r="C44" s="189">
        <f t="shared" ref="C44:D44" si="18">C45+C47</f>
        <v>43000</v>
      </c>
      <c r="D44" s="189">
        <f t="shared" si="18"/>
        <v>22101.442000000003</v>
      </c>
      <c r="E44" s="189">
        <f t="shared" si="1"/>
        <v>51.398702325581404</v>
      </c>
    </row>
    <row r="45" spans="1:6" ht="63" x14ac:dyDescent="0.25">
      <c r="A45" s="138" t="s">
        <v>65</v>
      </c>
      <c r="B45" s="139" t="s">
        <v>66</v>
      </c>
      <c r="C45" s="189">
        <f t="shared" ref="C45:D45" si="19">C46</f>
        <v>38000</v>
      </c>
      <c r="D45" s="189">
        <f t="shared" si="19"/>
        <v>20052.846000000001</v>
      </c>
      <c r="E45" s="189">
        <f t="shared" si="1"/>
        <v>52.770647368421052</v>
      </c>
    </row>
    <row r="46" spans="1:6" ht="63" x14ac:dyDescent="0.25">
      <c r="A46" s="215" t="s">
        <v>67</v>
      </c>
      <c r="B46" s="145" t="s">
        <v>68</v>
      </c>
      <c r="C46" s="190">
        <v>38000</v>
      </c>
      <c r="D46" s="190">
        <v>20052.846000000001</v>
      </c>
      <c r="E46" s="190">
        <f t="shared" si="1"/>
        <v>52.770647368421052</v>
      </c>
    </row>
    <row r="47" spans="1:6" ht="31.5" x14ac:dyDescent="0.25">
      <c r="A47" s="138" t="s">
        <v>69</v>
      </c>
      <c r="B47" s="139" t="s">
        <v>70</v>
      </c>
      <c r="C47" s="189">
        <f t="shared" ref="C47:D47" si="20">C48</f>
        <v>5000</v>
      </c>
      <c r="D47" s="189">
        <f t="shared" si="20"/>
        <v>2048.596</v>
      </c>
      <c r="E47" s="189">
        <f t="shared" si="1"/>
        <v>40.971919999999997</v>
      </c>
    </row>
    <row r="48" spans="1:6" ht="31.5" x14ac:dyDescent="0.25">
      <c r="A48" s="215" t="s">
        <v>71</v>
      </c>
      <c r="B48" s="145" t="s">
        <v>72</v>
      </c>
      <c r="C48" s="190">
        <v>5000</v>
      </c>
      <c r="D48" s="190">
        <v>2048.596</v>
      </c>
      <c r="E48" s="190">
        <f t="shared" si="1"/>
        <v>40.971919999999997</v>
      </c>
    </row>
    <row r="49" spans="1:5" ht="18.75" x14ac:dyDescent="0.25">
      <c r="A49" s="138" t="s">
        <v>73</v>
      </c>
      <c r="B49" s="147" t="s">
        <v>74</v>
      </c>
      <c r="C49" s="189">
        <f t="shared" ref="C49:D49" si="21">SUM(C50)</f>
        <v>3826</v>
      </c>
      <c r="D49" s="189">
        <f t="shared" si="21"/>
        <v>3704.7450000000003</v>
      </c>
      <c r="E49" s="189">
        <f t="shared" si="1"/>
        <v>96.830763199163627</v>
      </c>
    </row>
    <row r="50" spans="1:5" ht="18.75" x14ac:dyDescent="0.25">
      <c r="A50" s="138" t="s">
        <v>75</v>
      </c>
      <c r="B50" s="147" t="s">
        <v>76</v>
      </c>
      <c r="C50" s="189">
        <f>C51+C52+C53</f>
        <v>3826</v>
      </c>
      <c r="D50" s="189">
        <f t="shared" ref="D50" si="22">D51+D52+D53</f>
        <v>3704.7450000000003</v>
      </c>
      <c r="E50" s="189">
        <f t="shared" si="1"/>
        <v>96.830763199163627</v>
      </c>
    </row>
    <row r="51" spans="1:5" ht="31.5" x14ac:dyDescent="0.25">
      <c r="A51" s="138" t="s">
        <v>77</v>
      </c>
      <c r="B51" s="147" t="s">
        <v>78</v>
      </c>
      <c r="C51" s="189">
        <f>517.9-487.9</f>
        <v>30</v>
      </c>
      <c r="D51" s="189">
        <v>29.254000000000001</v>
      </c>
      <c r="E51" s="190">
        <f t="shared" si="1"/>
        <v>97.513333333333335</v>
      </c>
    </row>
    <row r="52" spans="1:5" ht="18.75" x14ac:dyDescent="0.25">
      <c r="A52" s="138" t="s">
        <v>79</v>
      </c>
      <c r="B52" s="147" t="s">
        <v>80</v>
      </c>
      <c r="C52" s="189">
        <f>1.1+218.9</f>
        <v>220</v>
      </c>
      <c r="D52" s="189">
        <v>39.506</v>
      </c>
      <c r="E52" s="190">
        <f t="shared" si="1"/>
        <v>17.957272727272727</v>
      </c>
    </row>
    <row r="53" spans="1:5" ht="31.5" x14ac:dyDescent="0.25">
      <c r="A53" s="138" t="s">
        <v>1324</v>
      </c>
      <c r="B53" s="252" t="s">
        <v>1325</v>
      </c>
      <c r="C53" s="189">
        <f>C54+C55</f>
        <v>3576</v>
      </c>
      <c r="D53" s="189">
        <f t="shared" ref="D53" si="23">D54+D55</f>
        <v>3635.9850000000001</v>
      </c>
      <c r="E53" s="189">
        <f t="shared" si="1"/>
        <v>101.67743288590604</v>
      </c>
    </row>
    <row r="54" spans="1:5" ht="18.75" x14ac:dyDescent="0.25">
      <c r="A54" s="215" t="s">
        <v>826</v>
      </c>
      <c r="B54" s="140" t="s">
        <v>827</v>
      </c>
      <c r="C54" s="190">
        <f>1060.8+2389.2</f>
        <v>3450</v>
      </c>
      <c r="D54" s="190">
        <v>3635.9850000000001</v>
      </c>
      <c r="E54" s="190">
        <f t="shared" si="1"/>
        <v>105.3908695652174</v>
      </c>
    </row>
    <row r="55" spans="1:5" ht="18.75" x14ac:dyDescent="0.25">
      <c r="A55" s="215" t="s">
        <v>828</v>
      </c>
      <c r="B55" s="140" t="s">
        <v>829</v>
      </c>
      <c r="C55" s="190">
        <f>156-30</f>
        <v>126</v>
      </c>
      <c r="D55" s="190">
        <v>0</v>
      </c>
      <c r="E55" s="190">
        <f t="shared" si="1"/>
        <v>0</v>
      </c>
    </row>
    <row r="56" spans="1:5" ht="31.5" x14ac:dyDescent="0.25">
      <c r="A56" s="138" t="s">
        <v>81</v>
      </c>
      <c r="B56" s="147" t="s">
        <v>82</v>
      </c>
      <c r="C56" s="189">
        <f>C58</f>
        <v>842</v>
      </c>
      <c r="D56" s="189">
        <f t="shared" ref="D56" si="24">D58</f>
        <v>851.80499999999995</v>
      </c>
      <c r="E56" s="189">
        <f t="shared" si="1"/>
        <v>101.16448931116389</v>
      </c>
    </row>
    <row r="57" spans="1:5" ht="18.75" x14ac:dyDescent="0.25">
      <c r="A57" s="138" t="s">
        <v>83</v>
      </c>
      <c r="B57" s="147" t="s">
        <v>84</v>
      </c>
      <c r="C57" s="189">
        <f>C58</f>
        <v>842</v>
      </c>
      <c r="D57" s="189">
        <f t="shared" ref="D57" si="25">D58</f>
        <v>851.80499999999995</v>
      </c>
      <c r="E57" s="189">
        <f t="shared" si="1"/>
        <v>101.16448931116389</v>
      </c>
    </row>
    <row r="58" spans="1:5" ht="31.5" x14ac:dyDescent="0.25">
      <c r="A58" s="215" t="s">
        <v>85</v>
      </c>
      <c r="B58" s="140" t="s">
        <v>86</v>
      </c>
      <c r="C58" s="190">
        <f>842</f>
        <v>842</v>
      </c>
      <c r="D58" s="190">
        <v>851.80499999999995</v>
      </c>
      <c r="E58" s="190">
        <f t="shared" si="1"/>
        <v>101.16448931116389</v>
      </c>
    </row>
    <row r="59" spans="1:5" ht="31.5" x14ac:dyDescent="0.25">
      <c r="A59" s="138" t="s">
        <v>87</v>
      </c>
      <c r="B59" s="147" t="s">
        <v>88</v>
      </c>
      <c r="C59" s="189">
        <f t="shared" ref="C59:D59" si="26">SUM(C60+C62)</f>
        <v>236</v>
      </c>
      <c r="D59" s="189">
        <f t="shared" si="26"/>
        <v>5048.1939999999995</v>
      </c>
      <c r="E59" s="189">
        <f t="shared" si="1"/>
        <v>2139.0652542372882</v>
      </c>
    </row>
    <row r="60" spans="1:5" ht="78.75" x14ac:dyDescent="0.25">
      <c r="A60" s="138" t="s">
        <v>89</v>
      </c>
      <c r="B60" s="147" t="s">
        <v>90</v>
      </c>
      <c r="C60" s="189">
        <f t="shared" ref="C60:D60" si="27">C61</f>
        <v>235</v>
      </c>
      <c r="D60" s="189">
        <f t="shared" si="27"/>
        <v>4984.7</v>
      </c>
      <c r="E60" s="189">
        <f t="shared" si="1"/>
        <v>2121.1489361702129</v>
      </c>
    </row>
    <row r="61" spans="1:5" ht="78.75" x14ac:dyDescent="0.25">
      <c r="A61" s="215" t="s">
        <v>91</v>
      </c>
      <c r="B61" s="140" t="s">
        <v>716</v>
      </c>
      <c r="C61" s="190">
        <v>235</v>
      </c>
      <c r="D61" s="190">
        <v>4984.7</v>
      </c>
      <c r="E61" s="190">
        <f t="shared" si="1"/>
        <v>2121.1489361702129</v>
      </c>
    </row>
    <row r="62" spans="1:5" ht="31.5" x14ac:dyDescent="0.25">
      <c r="A62" s="138" t="s">
        <v>92</v>
      </c>
      <c r="B62" s="147" t="s">
        <v>93</v>
      </c>
      <c r="C62" s="189">
        <f t="shared" ref="C62:D62" si="28">SUM(C63)</f>
        <v>1</v>
      </c>
      <c r="D62" s="189">
        <f t="shared" si="28"/>
        <v>63.494</v>
      </c>
      <c r="E62" s="189">
        <f t="shared" si="1"/>
        <v>6349.4</v>
      </c>
    </row>
    <row r="63" spans="1:5" ht="47.25" x14ac:dyDescent="0.25">
      <c r="A63" s="215" t="s">
        <v>94</v>
      </c>
      <c r="B63" s="140" t="s">
        <v>95</v>
      </c>
      <c r="C63" s="190">
        <v>1</v>
      </c>
      <c r="D63" s="190">
        <v>63.494</v>
      </c>
      <c r="E63" s="190">
        <f t="shared" si="1"/>
        <v>6349.4</v>
      </c>
    </row>
    <row r="64" spans="1:5" ht="18.75" x14ac:dyDescent="0.25">
      <c r="A64" s="138" t="s">
        <v>96</v>
      </c>
      <c r="B64" s="147" t="s">
        <v>97</v>
      </c>
      <c r="C64" s="189">
        <f>C65</f>
        <v>30</v>
      </c>
      <c r="D64" s="189">
        <f t="shared" ref="D64" si="29">D65</f>
        <v>73.689000000000007</v>
      </c>
      <c r="E64" s="189">
        <f t="shared" si="1"/>
        <v>245.63000000000002</v>
      </c>
    </row>
    <row r="65" spans="1:5" ht="31.5" x14ac:dyDescent="0.25">
      <c r="A65" s="138" t="s">
        <v>1300</v>
      </c>
      <c r="B65" s="147" t="s">
        <v>98</v>
      </c>
      <c r="C65" s="189">
        <f>C66+C68+C70</f>
        <v>30</v>
      </c>
      <c r="D65" s="189">
        <f>D66+D68+D70+D75+D77</f>
        <v>73.689000000000007</v>
      </c>
      <c r="E65" s="189">
        <f t="shared" si="1"/>
        <v>245.63000000000002</v>
      </c>
    </row>
    <row r="66" spans="1:5" ht="47.25" x14ac:dyDescent="0.25">
      <c r="A66" s="138" t="s">
        <v>1317</v>
      </c>
      <c r="B66" s="263" t="s">
        <v>1316</v>
      </c>
      <c r="C66" s="189">
        <f>C67</f>
        <v>10</v>
      </c>
      <c r="D66" s="189">
        <f t="shared" ref="D66" si="30">D67</f>
        <v>0.6</v>
      </c>
      <c r="E66" s="189">
        <f t="shared" si="1"/>
        <v>6</v>
      </c>
    </row>
    <row r="67" spans="1:5" ht="63" x14ac:dyDescent="0.25">
      <c r="A67" s="215" t="s">
        <v>1302</v>
      </c>
      <c r="B67" s="264" t="s">
        <v>1311</v>
      </c>
      <c r="C67" s="190">
        <v>10</v>
      </c>
      <c r="D67" s="190">
        <v>0.6</v>
      </c>
      <c r="E67" s="190">
        <f t="shared" si="1"/>
        <v>6</v>
      </c>
    </row>
    <row r="68" spans="1:5" ht="78.75" x14ac:dyDescent="0.25">
      <c r="A68" s="138" t="s">
        <v>1319</v>
      </c>
      <c r="B68" s="263" t="s">
        <v>1318</v>
      </c>
      <c r="C68" s="189">
        <f>C69</f>
        <v>10</v>
      </c>
      <c r="D68" s="189">
        <f t="shared" ref="D68" si="31">D69</f>
        <v>0</v>
      </c>
      <c r="E68" s="189">
        <f t="shared" si="1"/>
        <v>0</v>
      </c>
    </row>
    <row r="69" spans="1:5" ht="94.5" x14ac:dyDescent="0.25">
      <c r="A69" s="215" t="s">
        <v>1301</v>
      </c>
      <c r="B69" s="264" t="s">
        <v>1312</v>
      </c>
      <c r="C69" s="190">
        <v>10</v>
      </c>
      <c r="D69" s="190">
        <v>0</v>
      </c>
      <c r="E69" s="190">
        <f t="shared" si="1"/>
        <v>0</v>
      </c>
    </row>
    <row r="70" spans="1:5" ht="63" x14ac:dyDescent="0.25">
      <c r="A70" s="138" t="s">
        <v>1315</v>
      </c>
      <c r="B70" s="265" t="s">
        <v>1314</v>
      </c>
      <c r="C70" s="189">
        <f>C71</f>
        <v>10</v>
      </c>
      <c r="D70" s="189">
        <f t="shared" ref="D70" si="32">D71</f>
        <v>1.75</v>
      </c>
      <c r="E70" s="189">
        <f t="shared" si="1"/>
        <v>17.5</v>
      </c>
    </row>
    <row r="71" spans="1:5" ht="78.75" x14ac:dyDescent="0.25">
      <c r="A71" s="215" t="s">
        <v>1305</v>
      </c>
      <c r="B71" s="266" t="s">
        <v>1313</v>
      </c>
      <c r="C71" s="190">
        <v>10</v>
      </c>
      <c r="D71" s="190">
        <v>1.75</v>
      </c>
      <c r="E71" s="190">
        <f t="shared" si="1"/>
        <v>17.5</v>
      </c>
    </row>
    <row r="72" spans="1:5" ht="18.75" hidden="1" x14ac:dyDescent="0.25">
      <c r="A72" s="3" t="s">
        <v>1303</v>
      </c>
      <c r="B72" s="186" t="s">
        <v>790</v>
      </c>
      <c r="C72" s="189">
        <f>C73</f>
        <v>0</v>
      </c>
      <c r="D72" s="189">
        <f t="shared" ref="D72" si="33">D73</f>
        <v>0</v>
      </c>
      <c r="E72" s="374" t="e">
        <f t="shared" si="1"/>
        <v>#DIV/0!</v>
      </c>
    </row>
    <row r="73" spans="1:5" ht="18.75" hidden="1" x14ac:dyDescent="0.25">
      <c r="A73" s="3" t="s">
        <v>1304</v>
      </c>
      <c r="B73" s="186" t="s">
        <v>791</v>
      </c>
      <c r="C73" s="189">
        <f t="shared" ref="C73:D73" si="34">SUM(C74)</f>
        <v>0</v>
      </c>
      <c r="D73" s="189">
        <f t="shared" si="34"/>
        <v>0</v>
      </c>
      <c r="E73" s="374" t="e">
        <f t="shared" si="1"/>
        <v>#DIV/0!</v>
      </c>
    </row>
    <row r="74" spans="1:5" ht="18.75" hidden="1" x14ac:dyDescent="0.25">
      <c r="A74" s="2" t="s">
        <v>792</v>
      </c>
      <c r="B74" s="185" t="s">
        <v>793</v>
      </c>
      <c r="C74" s="190">
        <v>0</v>
      </c>
      <c r="D74" s="190">
        <v>0</v>
      </c>
      <c r="E74" s="374" t="e">
        <f t="shared" si="1"/>
        <v>#DIV/0!</v>
      </c>
    </row>
    <row r="75" spans="1:5" s="375" customFormat="1" ht="47.25" x14ac:dyDescent="0.25">
      <c r="A75" s="370" t="s">
        <v>1559</v>
      </c>
      <c r="B75" s="372" t="s">
        <v>1560</v>
      </c>
      <c r="C75" s="373">
        <v>0</v>
      </c>
      <c r="D75" s="373">
        <f>D76</f>
        <v>0.3</v>
      </c>
      <c r="E75" s="374" t="s">
        <v>1573</v>
      </c>
    </row>
    <row r="76" spans="1:5" ht="110.25" x14ac:dyDescent="0.25">
      <c r="A76" s="367" t="s">
        <v>1561</v>
      </c>
      <c r="B76" s="371" t="s">
        <v>1562</v>
      </c>
      <c r="C76" s="374">
        <v>0</v>
      </c>
      <c r="D76" s="190">
        <v>0.3</v>
      </c>
      <c r="E76" s="374" t="s">
        <v>1573</v>
      </c>
    </row>
    <row r="77" spans="1:5" s="375" customFormat="1" ht="75.75" customHeight="1" x14ac:dyDescent="0.25">
      <c r="A77" s="368" t="s">
        <v>1563</v>
      </c>
      <c r="B77" s="372" t="s">
        <v>1564</v>
      </c>
      <c r="C77" s="373">
        <v>0</v>
      </c>
      <c r="D77" s="373">
        <f>D78+D79</f>
        <v>71.039000000000001</v>
      </c>
      <c r="E77" s="374" t="s">
        <v>1573</v>
      </c>
    </row>
    <row r="78" spans="1:5" ht="31.5" x14ac:dyDescent="0.25">
      <c r="A78" s="367" t="s">
        <v>1565</v>
      </c>
      <c r="B78" s="371" t="s">
        <v>1566</v>
      </c>
      <c r="C78" s="374">
        <v>0</v>
      </c>
      <c r="D78" s="190">
        <v>56.923000000000002</v>
      </c>
      <c r="E78" s="374" t="s">
        <v>1573</v>
      </c>
    </row>
    <row r="79" spans="1:5" ht="31.5" x14ac:dyDescent="0.25">
      <c r="A79" s="367" t="s">
        <v>1567</v>
      </c>
      <c r="B79" s="371" t="s">
        <v>1568</v>
      </c>
      <c r="C79" s="374">
        <v>0</v>
      </c>
      <c r="D79" s="190">
        <v>14.116</v>
      </c>
      <c r="E79" s="374" t="s">
        <v>1573</v>
      </c>
    </row>
    <row r="80" spans="1:5" s="375" customFormat="1" ht="18.75" x14ac:dyDescent="0.25">
      <c r="A80" s="368" t="s">
        <v>1303</v>
      </c>
      <c r="B80" s="372" t="s">
        <v>790</v>
      </c>
      <c r="C80" s="373">
        <v>0</v>
      </c>
      <c r="D80" s="373">
        <f>D81+D83</f>
        <v>244.95099999999999</v>
      </c>
      <c r="E80" s="374" t="s">
        <v>1573</v>
      </c>
    </row>
    <row r="81" spans="1:10" s="375" customFormat="1" ht="18.75" x14ac:dyDescent="0.25">
      <c r="A81" s="368" t="s">
        <v>1569</v>
      </c>
      <c r="B81" s="372" t="s">
        <v>1570</v>
      </c>
      <c r="C81" s="373">
        <v>0</v>
      </c>
      <c r="D81" s="373">
        <f>D82</f>
        <v>1.0269999999999999</v>
      </c>
      <c r="E81" s="374" t="s">
        <v>1573</v>
      </c>
    </row>
    <row r="82" spans="1:10" s="369" customFormat="1" ht="18.75" x14ac:dyDescent="0.25">
      <c r="A82" s="367" t="s">
        <v>1571</v>
      </c>
      <c r="B82" s="371" t="s">
        <v>1572</v>
      </c>
      <c r="C82" s="374">
        <v>0</v>
      </c>
      <c r="D82" s="374">
        <v>1.0269999999999999</v>
      </c>
      <c r="E82" s="374" t="s">
        <v>1573</v>
      </c>
    </row>
    <row r="83" spans="1:10" s="375" customFormat="1" ht="18.75" x14ac:dyDescent="0.25">
      <c r="A83" s="368" t="s">
        <v>1304</v>
      </c>
      <c r="B83" s="372" t="s">
        <v>791</v>
      </c>
      <c r="C83" s="373">
        <v>0</v>
      </c>
      <c r="D83" s="373">
        <f>D84</f>
        <v>243.92400000000001</v>
      </c>
      <c r="E83" s="374" t="s">
        <v>1573</v>
      </c>
    </row>
    <row r="84" spans="1:10" s="369" customFormat="1" ht="18.75" x14ac:dyDescent="0.25">
      <c r="A84" s="367" t="s">
        <v>792</v>
      </c>
      <c r="B84" s="371" t="s">
        <v>793</v>
      </c>
      <c r="C84" s="374">
        <v>0</v>
      </c>
      <c r="D84" s="374">
        <v>243.92400000000001</v>
      </c>
      <c r="E84" s="374" t="s">
        <v>1573</v>
      </c>
    </row>
    <row r="85" spans="1:10" ht="18.75" hidden="1" x14ac:dyDescent="0.25">
      <c r="A85" s="2"/>
      <c r="B85" s="185"/>
      <c r="C85" s="190"/>
      <c r="D85" s="190"/>
      <c r="E85" s="190"/>
    </row>
    <row r="86" spans="1:10" ht="18.75" x14ac:dyDescent="0.25">
      <c r="A86" s="138" t="s">
        <v>99</v>
      </c>
      <c r="B86" s="139" t="s">
        <v>100</v>
      </c>
      <c r="C86" s="189">
        <f>SUM(C87+C160)</f>
        <v>450677.19999999995</v>
      </c>
      <c r="D86" s="189">
        <f>SUM(D87+D160+D166)</f>
        <v>193395.71400000004</v>
      </c>
      <c r="E86" s="189">
        <f t="shared" ref="E86:E149" si="35">D86/C86*100</f>
        <v>42.912247169370907</v>
      </c>
      <c r="F86" s="116"/>
      <c r="H86" s="206"/>
      <c r="I86" s="116"/>
      <c r="J86" s="116"/>
    </row>
    <row r="87" spans="1:10" ht="31.5" x14ac:dyDescent="0.25">
      <c r="A87" s="138" t="s">
        <v>101</v>
      </c>
      <c r="B87" s="139" t="s">
        <v>102</v>
      </c>
      <c r="C87" s="189">
        <f>SUM(C88+C94+C125+C152)</f>
        <v>428477.19999999995</v>
      </c>
      <c r="D87" s="189">
        <f>SUM(D88+D94+D125+D152)</f>
        <v>193229.52900000004</v>
      </c>
      <c r="E87" s="189">
        <f t="shared" si="35"/>
        <v>45.096805384277175</v>
      </c>
      <c r="H87" s="206"/>
      <c r="I87" s="116"/>
    </row>
    <row r="88" spans="1:10" ht="18.75" x14ac:dyDescent="0.25">
      <c r="A88" s="138" t="s">
        <v>856</v>
      </c>
      <c r="B88" s="148" t="s">
        <v>103</v>
      </c>
      <c r="C88" s="189">
        <f>C89</f>
        <v>158125</v>
      </c>
      <c r="D88" s="189">
        <f>D89+D92</f>
        <v>67008.2</v>
      </c>
      <c r="E88" s="189">
        <f t="shared" si="35"/>
        <v>42.376727272727273</v>
      </c>
    </row>
    <row r="89" spans="1:10" ht="18.75" x14ac:dyDescent="0.25">
      <c r="A89" s="138" t="s">
        <v>1344</v>
      </c>
      <c r="B89" s="148" t="s">
        <v>1341</v>
      </c>
      <c r="C89" s="189">
        <f>C90</f>
        <v>158125</v>
      </c>
      <c r="D89" s="189">
        <f t="shared" ref="D89" si="36">D90</f>
        <v>66708.2</v>
      </c>
      <c r="E89" s="189">
        <f t="shared" si="35"/>
        <v>42.187003952569171</v>
      </c>
    </row>
    <row r="90" spans="1:10" ht="31.5" x14ac:dyDescent="0.25">
      <c r="A90" s="138" t="s">
        <v>855</v>
      </c>
      <c r="B90" s="139" t="s">
        <v>1361</v>
      </c>
      <c r="C90" s="189">
        <f>C91</f>
        <v>158125</v>
      </c>
      <c r="D90" s="189">
        <f>D91</f>
        <v>66708.2</v>
      </c>
      <c r="E90" s="189">
        <f t="shared" si="35"/>
        <v>42.187003952569171</v>
      </c>
      <c r="F90" s="116"/>
    </row>
    <row r="91" spans="1:10" ht="94.5" x14ac:dyDescent="0.25">
      <c r="A91" s="133" t="s">
        <v>855</v>
      </c>
      <c r="B91" s="145" t="s">
        <v>104</v>
      </c>
      <c r="C91" s="190">
        <v>158125</v>
      </c>
      <c r="D91" s="190">
        <v>66708.2</v>
      </c>
      <c r="E91" s="190">
        <f t="shared" si="35"/>
        <v>42.187003952569171</v>
      </c>
    </row>
    <row r="92" spans="1:10" ht="31.5" x14ac:dyDescent="0.25">
      <c r="A92" s="135" t="s">
        <v>1342</v>
      </c>
      <c r="B92" s="139" t="s">
        <v>1343</v>
      </c>
      <c r="C92" s="189">
        <f>C93</f>
        <v>0</v>
      </c>
      <c r="D92" s="189">
        <f t="shared" ref="D92" si="37">D93</f>
        <v>300</v>
      </c>
      <c r="E92" s="190" t="s">
        <v>1573</v>
      </c>
    </row>
    <row r="93" spans="1:10" ht="31.5" x14ac:dyDescent="0.25">
      <c r="A93" s="133" t="s">
        <v>1283</v>
      </c>
      <c r="B93" s="145" t="s">
        <v>1284</v>
      </c>
      <c r="C93" s="190">
        <v>0</v>
      </c>
      <c r="D93" s="190">
        <v>300</v>
      </c>
      <c r="E93" s="190" t="s">
        <v>1573</v>
      </c>
    </row>
    <row r="94" spans="1:10" ht="34.5" customHeight="1" x14ac:dyDescent="0.25">
      <c r="A94" s="138" t="s">
        <v>854</v>
      </c>
      <c r="B94" s="139" t="s">
        <v>106</v>
      </c>
      <c r="C94" s="189">
        <f>C101+C107+C110+C103+C97+C99+C105+C95</f>
        <v>14560.9</v>
      </c>
      <c r="D94" s="189">
        <f t="shared" ref="D94" si="38">D101+D107+D110+D103+D97+D99+D105+D95</f>
        <v>2549.1150000000002</v>
      </c>
      <c r="E94" s="189">
        <f t="shared" si="35"/>
        <v>17.506575829790744</v>
      </c>
      <c r="F94" s="116"/>
      <c r="G94" s="116"/>
      <c r="H94" s="206"/>
      <c r="I94" s="116"/>
    </row>
    <row r="95" spans="1:10" ht="34.5" customHeight="1" x14ac:dyDescent="0.25">
      <c r="A95" s="317" t="s">
        <v>1477</v>
      </c>
      <c r="B95" s="320" t="s">
        <v>1480</v>
      </c>
      <c r="C95" s="284">
        <f>C96</f>
        <v>400</v>
      </c>
      <c r="D95" s="284">
        <f t="shared" ref="D95" si="39">D96</f>
        <v>400</v>
      </c>
      <c r="E95" s="189">
        <f t="shared" si="35"/>
        <v>100</v>
      </c>
      <c r="F95" s="116"/>
      <c r="G95" s="116"/>
      <c r="H95" s="206"/>
      <c r="I95" s="116"/>
    </row>
    <row r="96" spans="1:10" s="149" customFormat="1" ht="51.75" customHeight="1" x14ac:dyDescent="0.25">
      <c r="A96" s="215" t="s">
        <v>1478</v>
      </c>
      <c r="B96" s="323" t="s">
        <v>1479</v>
      </c>
      <c r="C96" s="190">
        <v>400</v>
      </c>
      <c r="D96" s="190">
        <v>400</v>
      </c>
      <c r="E96" s="190">
        <f t="shared" si="35"/>
        <v>100</v>
      </c>
      <c r="F96" s="208"/>
      <c r="G96" s="208"/>
      <c r="H96" s="321"/>
      <c r="I96" s="208"/>
    </row>
    <row r="97" spans="1:9" ht="49.7" customHeight="1" x14ac:dyDescent="0.25">
      <c r="A97" s="318" t="s">
        <v>1382</v>
      </c>
      <c r="B97" s="262" t="s">
        <v>1384</v>
      </c>
      <c r="C97" s="322">
        <f>C98</f>
        <v>1117.0999999999999</v>
      </c>
      <c r="D97" s="322">
        <f t="shared" ref="D97" si="40">D98</f>
        <v>0</v>
      </c>
      <c r="E97" s="189">
        <f t="shared" si="35"/>
        <v>0</v>
      </c>
      <c r="F97" s="116"/>
      <c r="G97" s="116"/>
      <c r="H97" s="206"/>
      <c r="I97" s="116"/>
    </row>
    <row r="98" spans="1:9" ht="83.25" customHeight="1" x14ac:dyDescent="0.25">
      <c r="A98" s="215" t="s">
        <v>1381</v>
      </c>
      <c r="B98" s="99" t="s">
        <v>1472</v>
      </c>
      <c r="C98" s="190">
        <v>1117.0999999999999</v>
      </c>
      <c r="D98" s="190">
        <v>0</v>
      </c>
      <c r="E98" s="190">
        <f t="shared" si="35"/>
        <v>0</v>
      </c>
      <c r="F98" s="116"/>
      <c r="G98" s="116"/>
      <c r="H98" s="206"/>
      <c r="I98" s="116"/>
    </row>
    <row r="99" spans="1:9" ht="51.75" customHeight="1" x14ac:dyDescent="0.25">
      <c r="A99" s="138" t="s">
        <v>1385</v>
      </c>
      <c r="B99" s="223" t="s">
        <v>1388</v>
      </c>
      <c r="C99" s="189">
        <f>C100</f>
        <v>1253.5</v>
      </c>
      <c r="D99" s="189">
        <f t="shared" ref="D99" si="41">D100</f>
        <v>0</v>
      </c>
      <c r="E99" s="189">
        <f t="shared" si="35"/>
        <v>0</v>
      </c>
      <c r="F99" s="116"/>
      <c r="G99" s="116"/>
      <c r="H99" s="206"/>
      <c r="I99" s="116"/>
    </row>
    <row r="100" spans="1:9" ht="105.75" customHeight="1" x14ac:dyDescent="0.25">
      <c r="A100" s="215" t="s">
        <v>1386</v>
      </c>
      <c r="B100" s="99" t="s">
        <v>1475</v>
      </c>
      <c r="C100" s="190">
        <v>1253.5</v>
      </c>
      <c r="D100" s="190">
        <v>0</v>
      </c>
      <c r="E100" s="190">
        <f t="shared" si="35"/>
        <v>0</v>
      </c>
      <c r="F100" s="116"/>
      <c r="G100" s="116"/>
      <c r="H100" s="206"/>
      <c r="I100" s="116"/>
    </row>
    <row r="101" spans="1:9" ht="36" customHeight="1" x14ac:dyDescent="0.25">
      <c r="A101" s="287" t="s">
        <v>1377</v>
      </c>
      <c r="B101" s="139" t="s">
        <v>1327</v>
      </c>
      <c r="C101" s="189">
        <f t="shared" ref="C101:D101" si="42">SUM(C102)</f>
        <v>140.30000000000001</v>
      </c>
      <c r="D101" s="189">
        <f t="shared" si="42"/>
        <v>0</v>
      </c>
      <c r="E101" s="189">
        <f t="shared" si="35"/>
        <v>0</v>
      </c>
      <c r="G101" s="149"/>
    </row>
    <row r="102" spans="1:9" s="149" customFormat="1" ht="31.5" x14ac:dyDescent="0.25">
      <c r="A102" s="288" t="s">
        <v>1376</v>
      </c>
      <c r="B102" s="145" t="s">
        <v>825</v>
      </c>
      <c r="C102" s="190">
        <v>140.30000000000001</v>
      </c>
      <c r="D102" s="190"/>
      <c r="E102" s="190">
        <f t="shared" si="35"/>
        <v>0</v>
      </c>
    </row>
    <row r="103" spans="1:9" s="149" customFormat="1" ht="26.45" hidden="1" customHeight="1" x14ac:dyDescent="0.25">
      <c r="A103" s="287" t="s">
        <v>1328</v>
      </c>
      <c r="B103" s="148" t="s">
        <v>1329</v>
      </c>
      <c r="C103" s="189">
        <f>C104</f>
        <v>0</v>
      </c>
      <c r="D103" s="189">
        <f t="shared" ref="D103" si="43">D104</f>
        <v>0</v>
      </c>
      <c r="E103" s="190" t="e">
        <f t="shared" si="35"/>
        <v>#DIV/0!</v>
      </c>
    </row>
    <row r="104" spans="1:9" s="149" customFormat="1" ht="39.75" hidden="1" customHeight="1" x14ac:dyDescent="0.25">
      <c r="A104" s="288" t="s">
        <v>870</v>
      </c>
      <c r="B104" s="283" t="s">
        <v>871</v>
      </c>
      <c r="C104" s="190">
        <v>0</v>
      </c>
      <c r="D104" s="190">
        <v>0</v>
      </c>
      <c r="E104" s="190" t="e">
        <f t="shared" si="35"/>
        <v>#DIV/0!</v>
      </c>
    </row>
    <row r="105" spans="1:9" s="149" customFormat="1" ht="24.75" hidden="1" customHeight="1" x14ac:dyDescent="0.25">
      <c r="A105" s="289" t="s">
        <v>1375</v>
      </c>
      <c r="B105" s="290" t="s">
        <v>1378</v>
      </c>
      <c r="C105" s="189">
        <f>C106</f>
        <v>0</v>
      </c>
      <c r="D105" s="189">
        <f t="shared" ref="D105" si="44">D106</f>
        <v>0</v>
      </c>
      <c r="E105" s="190" t="e">
        <f t="shared" si="35"/>
        <v>#DIV/0!</v>
      </c>
    </row>
    <row r="106" spans="1:9" s="149" customFormat="1" ht="21.75" hidden="1" customHeight="1" x14ac:dyDescent="0.25">
      <c r="A106" s="291" t="s">
        <v>1373</v>
      </c>
      <c r="B106" s="292" t="s">
        <v>1374</v>
      </c>
      <c r="C106" s="190">
        <v>0</v>
      </c>
      <c r="D106" s="190">
        <v>0</v>
      </c>
      <c r="E106" s="190" t="e">
        <f t="shared" si="35"/>
        <v>#DIV/0!</v>
      </c>
    </row>
    <row r="107" spans="1:9" ht="31.5" hidden="1" x14ac:dyDescent="0.25">
      <c r="A107" s="287" t="s">
        <v>1330</v>
      </c>
      <c r="B107" s="139" t="s">
        <v>1331</v>
      </c>
      <c r="C107" s="189">
        <f t="shared" ref="C107:D107" si="45">SUM(C108)</f>
        <v>0</v>
      </c>
      <c r="D107" s="189">
        <f t="shared" si="45"/>
        <v>0</v>
      </c>
      <c r="E107" s="190" t="e">
        <f t="shared" si="35"/>
        <v>#DIV/0!</v>
      </c>
      <c r="G107" s="149"/>
    </row>
    <row r="108" spans="1:9" s="149" customFormat="1" ht="35.450000000000003" hidden="1" customHeight="1" x14ac:dyDescent="0.25">
      <c r="A108" s="288" t="s">
        <v>853</v>
      </c>
      <c r="B108" s="254" t="s">
        <v>1332</v>
      </c>
      <c r="C108" s="190">
        <v>0</v>
      </c>
      <c r="D108" s="190">
        <v>0</v>
      </c>
      <c r="E108" s="190" t="e">
        <f t="shared" si="35"/>
        <v>#DIV/0!</v>
      </c>
    </row>
    <row r="109" spans="1:9" s="204" customFormat="1" ht="18.75" x14ac:dyDescent="0.3">
      <c r="A109" s="287" t="s">
        <v>1334</v>
      </c>
      <c r="B109" s="139" t="s">
        <v>1333</v>
      </c>
      <c r="C109" s="304">
        <f>C110</f>
        <v>11650</v>
      </c>
      <c r="D109" s="304">
        <f t="shared" ref="D109" si="46">D110</f>
        <v>2149.1150000000002</v>
      </c>
      <c r="E109" s="189">
        <f t="shared" si="35"/>
        <v>18.447339055793993</v>
      </c>
      <c r="G109" s="206"/>
      <c r="I109" s="205"/>
    </row>
    <row r="110" spans="1:9" s="204" customFormat="1" ht="18.75" x14ac:dyDescent="0.25">
      <c r="A110" s="215" t="s">
        <v>852</v>
      </c>
      <c r="B110" s="145" t="s">
        <v>107</v>
      </c>
      <c r="C110" s="296">
        <f>SUM(C111+C112+C115+C116+C119+C121+C122+C123+C113+C114+C120+C124)</f>
        <v>11650</v>
      </c>
      <c r="D110" s="296">
        <f t="shared" ref="D110" si="47">SUM(D111+D112+D115+D116+D119+D121+D122+D123+D113+D114+D120+D124)</f>
        <v>2149.1150000000002</v>
      </c>
      <c r="E110" s="190">
        <f t="shared" si="35"/>
        <v>18.447339055793993</v>
      </c>
      <c r="G110" s="206"/>
      <c r="I110" s="205"/>
    </row>
    <row r="111" spans="1:9" ht="126.75" hidden="1" customHeight="1" x14ac:dyDescent="0.25">
      <c r="A111" s="385"/>
      <c r="B111" s="145" t="s">
        <v>839</v>
      </c>
      <c r="C111" s="190">
        <v>0</v>
      </c>
      <c r="D111" s="190">
        <v>0</v>
      </c>
      <c r="E111" s="190" t="e">
        <f t="shared" si="35"/>
        <v>#DIV/0!</v>
      </c>
    </row>
    <row r="112" spans="1:9" ht="63" x14ac:dyDescent="0.25">
      <c r="A112" s="386"/>
      <c r="B112" s="140" t="s">
        <v>840</v>
      </c>
      <c r="C112" s="190">
        <v>65.2</v>
      </c>
      <c r="D112" s="190">
        <v>0</v>
      </c>
      <c r="E112" s="190">
        <f t="shared" si="35"/>
        <v>0</v>
      </c>
    </row>
    <row r="113" spans="1:12" ht="115.5" customHeight="1" x14ac:dyDescent="0.25">
      <c r="A113" s="386"/>
      <c r="B113" s="151" t="s">
        <v>1379</v>
      </c>
      <c r="C113" s="293">
        <v>1666.6</v>
      </c>
      <c r="D113" s="293">
        <v>751.6</v>
      </c>
      <c r="E113" s="190">
        <f t="shared" si="35"/>
        <v>45.097803912156493</v>
      </c>
    </row>
    <row r="114" spans="1:12" ht="124.5" customHeight="1" x14ac:dyDescent="0.25">
      <c r="A114" s="386"/>
      <c r="B114" s="282" t="s">
        <v>1380</v>
      </c>
      <c r="C114" s="293">
        <f>500-300</f>
        <v>200</v>
      </c>
      <c r="D114" s="293">
        <v>0</v>
      </c>
      <c r="E114" s="190">
        <f t="shared" si="35"/>
        <v>0</v>
      </c>
      <c r="H114" s="216"/>
    </row>
    <row r="115" spans="1:12" ht="80.45" customHeight="1" x14ac:dyDescent="0.25">
      <c r="A115" s="386"/>
      <c r="B115" s="150" t="s">
        <v>1493</v>
      </c>
      <c r="C115" s="297">
        <v>2220.9</v>
      </c>
      <c r="D115" s="297">
        <v>300</v>
      </c>
      <c r="E115" s="190">
        <f t="shared" si="35"/>
        <v>13.508037282182897</v>
      </c>
      <c r="I115" s="116"/>
    </row>
    <row r="116" spans="1:12" ht="63" x14ac:dyDescent="0.25">
      <c r="A116" s="386"/>
      <c r="B116" s="151" t="s">
        <v>841</v>
      </c>
      <c r="C116" s="298">
        <f t="shared" ref="C116:D116" si="48">SUM(C117:C118)</f>
        <v>14</v>
      </c>
      <c r="D116" s="298">
        <f t="shared" si="48"/>
        <v>14</v>
      </c>
      <c r="E116" s="190">
        <f t="shared" si="35"/>
        <v>100</v>
      </c>
      <c r="G116" s="152"/>
    </row>
    <row r="117" spans="1:12" s="152" customFormat="1" ht="94.7" hidden="1" customHeight="1" x14ac:dyDescent="0.25">
      <c r="A117" s="386"/>
      <c r="B117" s="267" t="s">
        <v>1535</v>
      </c>
      <c r="C117" s="299">
        <v>0</v>
      </c>
      <c r="D117" s="299"/>
      <c r="E117" s="190" t="e">
        <f t="shared" si="35"/>
        <v>#DIV/0!</v>
      </c>
      <c r="L117" s="129"/>
    </row>
    <row r="118" spans="1:12" s="152" customFormat="1" ht="110.25" x14ac:dyDescent="0.25">
      <c r="A118" s="386"/>
      <c r="B118" s="168" t="s">
        <v>1534</v>
      </c>
      <c r="C118" s="300">
        <f>25-11</f>
        <v>14</v>
      </c>
      <c r="D118" s="300">
        <v>14</v>
      </c>
      <c r="E118" s="190">
        <f t="shared" si="35"/>
        <v>100</v>
      </c>
      <c r="L118" s="129"/>
    </row>
    <row r="119" spans="1:12" ht="78.75" x14ac:dyDescent="0.25">
      <c r="A119" s="386"/>
      <c r="B119" s="140" t="s">
        <v>1491</v>
      </c>
      <c r="C119" s="190">
        <f>1740-74.8</f>
        <v>1665.2</v>
      </c>
      <c r="D119" s="190">
        <v>883</v>
      </c>
      <c r="E119" s="190">
        <f t="shared" si="35"/>
        <v>53.026663463848188</v>
      </c>
      <c r="H119" s="216"/>
    </row>
    <row r="120" spans="1:12" ht="78.75" x14ac:dyDescent="0.25">
      <c r="A120" s="386"/>
      <c r="B120" s="140" t="s">
        <v>1504</v>
      </c>
      <c r="C120" s="190">
        <v>74.8</v>
      </c>
      <c r="D120" s="190">
        <v>0</v>
      </c>
      <c r="E120" s="190">
        <f t="shared" si="35"/>
        <v>0</v>
      </c>
      <c r="H120" s="216"/>
    </row>
    <row r="121" spans="1:12" ht="78.75" x14ac:dyDescent="0.25">
      <c r="A121" s="386"/>
      <c r="B121" s="140" t="s">
        <v>842</v>
      </c>
      <c r="C121" s="190">
        <v>255</v>
      </c>
      <c r="D121" s="190">
        <v>81.515000000000001</v>
      </c>
      <c r="E121" s="190">
        <f t="shared" si="35"/>
        <v>31.966666666666665</v>
      </c>
    </row>
    <row r="122" spans="1:12" ht="94.5" x14ac:dyDescent="0.25">
      <c r="A122" s="386"/>
      <c r="B122" s="140" t="s">
        <v>1492</v>
      </c>
      <c r="C122" s="190">
        <f>488.7+8</f>
        <v>496.7</v>
      </c>
      <c r="D122" s="190">
        <v>55</v>
      </c>
      <c r="E122" s="190">
        <f t="shared" si="35"/>
        <v>11.073082343466883</v>
      </c>
    </row>
    <row r="123" spans="1:12" s="202" customFormat="1" ht="163.5" customHeight="1" x14ac:dyDescent="0.2">
      <c r="A123" s="386"/>
      <c r="B123" s="198" t="s">
        <v>1494</v>
      </c>
      <c r="C123" s="296">
        <v>166.7</v>
      </c>
      <c r="D123" s="296">
        <v>64</v>
      </c>
      <c r="E123" s="190">
        <f t="shared" si="35"/>
        <v>38.392321535692865</v>
      </c>
    </row>
    <row r="124" spans="1:12" s="202" customFormat="1" ht="99.75" customHeight="1" x14ac:dyDescent="0.2">
      <c r="A124" s="387"/>
      <c r="B124" s="198" t="s">
        <v>1522</v>
      </c>
      <c r="C124" s="296">
        <f>4824.9</f>
        <v>4824.8999999999996</v>
      </c>
      <c r="D124" s="296">
        <v>0</v>
      </c>
      <c r="E124" s="190">
        <f t="shared" si="35"/>
        <v>0</v>
      </c>
      <c r="H124" s="330"/>
    </row>
    <row r="125" spans="1:12" ht="18.75" x14ac:dyDescent="0.25">
      <c r="A125" s="138" t="s">
        <v>851</v>
      </c>
      <c r="B125" s="147" t="s">
        <v>110</v>
      </c>
      <c r="C125" s="189">
        <f>C150+C126+C148+C146</f>
        <v>251636.89999999997</v>
      </c>
      <c r="D125" s="189">
        <f t="shared" ref="D125" si="49">D150+D126+D148+D146</f>
        <v>120643.71400000002</v>
      </c>
      <c r="E125" s="189">
        <f t="shared" si="35"/>
        <v>47.943570279239665</v>
      </c>
      <c r="F125" s="116"/>
    </row>
    <row r="126" spans="1:12" ht="31.5" x14ac:dyDescent="0.25">
      <c r="A126" s="138" t="s">
        <v>850</v>
      </c>
      <c r="B126" s="147" t="s">
        <v>111</v>
      </c>
      <c r="C126" s="189">
        <f>C127</f>
        <v>250933.49999999997</v>
      </c>
      <c r="D126" s="189">
        <f t="shared" ref="D126" si="50">D127</f>
        <v>120247.71400000002</v>
      </c>
      <c r="E126" s="189">
        <f t="shared" si="35"/>
        <v>47.920151753352997</v>
      </c>
    </row>
    <row r="127" spans="1:12" ht="31.5" x14ac:dyDescent="0.25">
      <c r="A127" s="215" t="s">
        <v>849</v>
      </c>
      <c r="B127" s="140" t="s">
        <v>112</v>
      </c>
      <c r="C127" s="190">
        <f>SUM(C128+C129+C130+C131+C132+C133+C134+C137+C138+C139+C140+C142+C141+C143+C144+C145)</f>
        <v>250933.49999999997</v>
      </c>
      <c r="D127" s="190">
        <f t="shared" ref="D127" si="51">SUM(D128+D129+D130+D131+D132+D133+D134+D137+D138+D139+D140+D142+D141+D143+D144+D145)</f>
        <v>120247.71400000002</v>
      </c>
      <c r="E127" s="190">
        <f t="shared" si="35"/>
        <v>47.920151753352997</v>
      </c>
    </row>
    <row r="128" spans="1:12" ht="98.45" customHeight="1" x14ac:dyDescent="0.25">
      <c r="A128" s="385"/>
      <c r="B128" s="150" t="s">
        <v>1495</v>
      </c>
      <c r="C128" s="298">
        <v>143160</v>
      </c>
      <c r="D128" s="298">
        <v>73041.460000000006</v>
      </c>
      <c r="E128" s="190">
        <f t="shared" si="35"/>
        <v>51.020857781503217</v>
      </c>
    </row>
    <row r="129" spans="1:9" ht="78.75" x14ac:dyDescent="0.25">
      <c r="A129" s="386"/>
      <c r="B129" s="140" t="s">
        <v>1496</v>
      </c>
      <c r="C129" s="190">
        <v>80735.399999999994</v>
      </c>
      <c r="D129" s="190">
        <v>37310.76</v>
      </c>
      <c r="E129" s="190">
        <f t="shared" si="35"/>
        <v>46.213631195237781</v>
      </c>
    </row>
    <row r="130" spans="1:9" ht="110.25" x14ac:dyDescent="0.25">
      <c r="A130" s="386"/>
      <c r="B130" s="140" t="s">
        <v>1497</v>
      </c>
      <c r="C130" s="190">
        <v>4743.8999999999996</v>
      </c>
      <c r="D130" s="190">
        <v>2474.17</v>
      </c>
      <c r="E130" s="190">
        <f t="shared" si="35"/>
        <v>52.1547671746875</v>
      </c>
    </row>
    <row r="131" spans="1:9" ht="97.5" customHeight="1" x14ac:dyDescent="0.25">
      <c r="A131" s="386"/>
      <c r="B131" s="140" t="s">
        <v>1498</v>
      </c>
      <c r="C131" s="190">
        <v>2075.4</v>
      </c>
      <c r="D131" s="190">
        <v>911.5</v>
      </c>
      <c r="E131" s="190">
        <f t="shared" si="35"/>
        <v>43.919244482991225</v>
      </c>
    </row>
    <row r="132" spans="1:9" ht="97.5" customHeight="1" x14ac:dyDescent="0.25">
      <c r="A132" s="386"/>
      <c r="B132" s="140" t="s">
        <v>114</v>
      </c>
      <c r="C132" s="190">
        <v>1433.3</v>
      </c>
      <c r="D132" s="190">
        <v>699.55</v>
      </c>
      <c r="E132" s="190">
        <f t="shared" si="35"/>
        <v>48.806948998813922</v>
      </c>
    </row>
    <row r="133" spans="1:9" ht="99" customHeight="1" x14ac:dyDescent="0.25">
      <c r="A133" s="386"/>
      <c r="B133" s="140" t="s">
        <v>115</v>
      </c>
      <c r="C133" s="190">
        <v>288.8</v>
      </c>
      <c r="D133" s="190">
        <v>89.85</v>
      </c>
      <c r="E133" s="190">
        <f t="shared" si="35"/>
        <v>31.111495844875343</v>
      </c>
    </row>
    <row r="134" spans="1:9" ht="47.25" x14ac:dyDescent="0.25">
      <c r="A134" s="386"/>
      <c r="B134" s="140" t="s">
        <v>116</v>
      </c>
      <c r="C134" s="190">
        <f t="shared" ref="C134:D134" si="52">SUM(C135:C136)</f>
        <v>3621.3999999999996</v>
      </c>
      <c r="D134" s="190">
        <f t="shared" si="52"/>
        <v>1726.0500000000002</v>
      </c>
      <c r="E134" s="190">
        <f t="shared" si="35"/>
        <v>47.662506213066777</v>
      </c>
    </row>
    <row r="135" spans="1:9" ht="31.5" x14ac:dyDescent="0.25">
      <c r="A135" s="386"/>
      <c r="B135" s="153" t="s">
        <v>719</v>
      </c>
      <c r="C135" s="300">
        <v>2829.1</v>
      </c>
      <c r="D135" s="300">
        <v>1408.4</v>
      </c>
      <c r="E135" s="190">
        <f t="shared" si="35"/>
        <v>49.782616379767418</v>
      </c>
    </row>
    <row r="136" spans="1:9" ht="31.5" x14ac:dyDescent="0.25">
      <c r="A136" s="386"/>
      <c r="B136" s="153" t="s">
        <v>720</v>
      </c>
      <c r="C136" s="300">
        <v>792.3</v>
      </c>
      <c r="D136" s="300">
        <v>317.64999999999998</v>
      </c>
      <c r="E136" s="190">
        <f t="shared" si="35"/>
        <v>40.0921368168623</v>
      </c>
    </row>
    <row r="137" spans="1:9" ht="126" x14ac:dyDescent="0.25">
      <c r="A137" s="386"/>
      <c r="B137" s="140" t="s">
        <v>844</v>
      </c>
      <c r="C137" s="190">
        <v>319.7</v>
      </c>
      <c r="D137" s="190">
        <v>110</v>
      </c>
      <c r="E137" s="190">
        <f t="shared" si="35"/>
        <v>34.407256803253048</v>
      </c>
    </row>
    <row r="138" spans="1:9" ht="110.25" customHeight="1" x14ac:dyDescent="0.25">
      <c r="A138" s="386"/>
      <c r="B138" s="140" t="s">
        <v>1499</v>
      </c>
      <c r="C138" s="190">
        <v>923.4</v>
      </c>
      <c r="D138" s="190">
        <v>516.70000000000005</v>
      </c>
      <c r="E138" s="190">
        <f t="shared" si="35"/>
        <v>55.956248646307131</v>
      </c>
    </row>
    <row r="139" spans="1:9" ht="47.25" x14ac:dyDescent="0.25">
      <c r="A139" s="386"/>
      <c r="B139" s="140" t="s">
        <v>118</v>
      </c>
      <c r="C139" s="190">
        <v>1115.9000000000001</v>
      </c>
      <c r="D139" s="190">
        <v>437.3</v>
      </c>
      <c r="E139" s="190">
        <f t="shared" si="35"/>
        <v>39.188099292051263</v>
      </c>
    </row>
    <row r="140" spans="1:9" ht="147.75" customHeight="1" x14ac:dyDescent="0.25">
      <c r="A140" s="386"/>
      <c r="B140" s="29" t="s">
        <v>1389</v>
      </c>
      <c r="C140" s="298">
        <v>22</v>
      </c>
      <c r="D140" s="298">
        <v>0</v>
      </c>
      <c r="E140" s="190">
        <f t="shared" si="35"/>
        <v>0</v>
      </c>
      <c r="F140" s="214"/>
      <c r="G140" s="214"/>
      <c r="H140" s="214"/>
      <c r="I140" s="247"/>
    </row>
    <row r="141" spans="1:9" ht="118.5" customHeight="1" x14ac:dyDescent="0.25">
      <c r="A141" s="386"/>
      <c r="B141" s="281" t="s">
        <v>1394</v>
      </c>
      <c r="C141" s="298">
        <v>1431.2</v>
      </c>
      <c r="D141" s="298">
        <v>0</v>
      </c>
      <c r="E141" s="190">
        <f t="shared" si="35"/>
        <v>0</v>
      </c>
      <c r="F141" s="214"/>
      <c r="G141" s="214"/>
      <c r="H141" s="214"/>
      <c r="I141" s="247"/>
    </row>
    <row r="142" spans="1:9" ht="54" customHeight="1" x14ac:dyDescent="0.25">
      <c r="A142" s="386"/>
      <c r="B142" s="140" t="s">
        <v>1371</v>
      </c>
      <c r="C142" s="190">
        <v>1914.5</v>
      </c>
      <c r="D142" s="190">
        <v>341.5</v>
      </c>
      <c r="E142" s="190">
        <f t="shared" si="35"/>
        <v>17.837555497518935</v>
      </c>
      <c r="F142" s="214"/>
      <c r="G142" s="214"/>
      <c r="H142" s="214"/>
      <c r="I142" s="247"/>
    </row>
    <row r="143" spans="1:9" ht="120.2" customHeight="1" x14ac:dyDescent="0.25">
      <c r="A143" s="386"/>
      <c r="B143" s="154" t="s">
        <v>1501</v>
      </c>
      <c r="C143" s="190">
        <v>6426.5</v>
      </c>
      <c r="D143" s="190">
        <v>1803.7739999999999</v>
      </c>
      <c r="E143" s="190">
        <f t="shared" si="35"/>
        <v>28.067750719676337</v>
      </c>
      <c r="F143" s="214"/>
      <c r="G143" s="214"/>
      <c r="H143" s="355"/>
      <c r="I143" s="247"/>
    </row>
    <row r="144" spans="1:9" ht="114" customHeight="1" x14ac:dyDescent="0.25">
      <c r="A144" s="386"/>
      <c r="B144" s="154" t="s">
        <v>1502</v>
      </c>
      <c r="C144" s="190">
        <v>1908.6</v>
      </c>
      <c r="D144" s="190">
        <v>295.10000000000002</v>
      </c>
      <c r="E144" s="190">
        <f t="shared" si="35"/>
        <v>15.4615948863041</v>
      </c>
      <c r="F144" s="214"/>
      <c r="G144" s="214"/>
      <c r="H144" s="355"/>
      <c r="I144" s="247"/>
    </row>
    <row r="145" spans="1:9" ht="115.5" customHeight="1" x14ac:dyDescent="0.25">
      <c r="A145" s="387"/>
      <c r="B145" s="154" t="s">
        <v>1503</v>
      </c>
      <c r="C145" s="190">
        <v>813.5</v>
      </c>
      <c r="D145" s="190">
        <v>490</v>
      </c>
      <c r="E145" s="190">
        <f t="shared" si="35"/>
        <v>60.233558696988318</v>
      </c>
      <c r="F145" s="214"/>
      <c r="G145" s="214"/>
      <c r="H145" s="355"/>
      <c r="I145" s="247"/>
    </row>
    <row r="146" spans="1:9" ht="75.2" customHeight="1" x14ac:dyDescent="0.25">
      <c r="A146" s="138" t="s">
        <v>1396</v>
      </c>
      <c r="B146" s="223" t="s">
        <v>1398</v>
      </c>
      <c r="C146" s="302">
        <f>C147</f>
        <v>6</v>
      </c>
      <c r="D146" s="302">
        <f t="shared" ref="D146" si="53">D147</f>
        <v>0</v>
      </c>
      <c r="E146" s="189">
        <f t="shared" si="35"/>
        <v>0</v>
      </c>
      <c r="F146" s="214"/>
      <c r="G146" s="214"/>
      <c r="H146" s="214"/>
      <c r="I146" s="247"/>
    </row>
    <row r="147" spans="1:9" ht="54" customHeight="1" x14ac:dyDescent="0.25">
      <c r="A147" s="215" t="s">
        <v>1397</v>
      </c>
      <c r="B147" s="99" t="s">
        <v>1398</v>
      </c>
      <c r="C147" s="298">
        <v>6</v>
      </c>
      <c r="D147" s="298">
        <v>0</v>
      </c>
      <c r="E147" s="190">
        <f t="shared" si="35"/>
        <v>0</v>
      </c>
      <c r="F147" s="214"/>
      <c r="G147" s="214"/>
      <c r="H147" s="214"/>
      <c r="I147" s="247"/>
    </row>
    <row r="148" spans="1:9" ht="39.75" customHeight="1" x14ac:dyDescent="0.25">
      <c r="A148" s="138" t="s">
        <v>1391</v>
      </c>
      <c r="B148" s="223" t="s">
        <v>1393</v>
      </c>
      <c r="C148" s="189">
        <f>C149</f>
        <v>92.6</v>
      </c>
      <c r="D148" s="189">
        <f t="shared" ref="D148" si="54">D149</f>
        <v>0</v>
      </c>
      <c r="E148" s="189">
        <f t="shared" si="35"/>
        <v>0</v>
      </c>
      <c r="F148" s="214"/>
      <c r="G148" s="214"/>
      <c r="H148" s="214"/>
      <c r="I148" s="247"/>
    </row>
    <row r="149" spans="1:9" ht="37.5" customHeight="1" x14ac:dyDescent="0.25">
      <c r="A149" s="215" t="s">
        <v>1392</v>
      </c>
      <c r="B149" s="99" t="s">
        <v>1390</v>
      </c>
      <c r="C149" s="190">
        <v>92.6</v>
      </c>
      <c r="D149" s="190">
        <v>0</v>
      </c>
      <c r="E149" s="190">
        <f t="shared" si="35"/>
        <v>0</v>
      </c>
      <c r="F149" s="214"/>
      <c r="G149" s="214"/>
      <c r="H149" s="214"/>
      <c r="I149" s="247"/>
    </row>
    <row r="150" spans="1:9" ht="31.5" x14ac:dyDescent="0.25">
      <c r="A150" s="138" t="s">
        <v>848</v>
      </c>
      <c r="B150" s="147" t="s">
        <v>119</v>
      </c>
      <c r="C150" s="189">
        <f t="shared" ref="C150:D150" si="55">C151</f>
        <v>604.79999999999995</v>
      </c>
      <c r="D150" s="189">
        <f t="shared" si="55"/>
        <v>396</v>
      </c>
      <c r="E150" s="189">
        <f t="shared" ref="E150:E168" si="56">D150/C150*100</f>
        <v>65.476190476190482</v>
      </c>
    </row>
    <row r="151" spans="1:9" ht="31.5" x14ac:dyDescent="0.25">
      <c r="A151" s="215" t="s">
        <v>847</v>
      </c>
      <c r="B151" s="140" t="s">
        <v>120</v>
      </c>
      <c r="C151" s="190">
        <v>604.79999999999995</v>
      </c>
      <c r="D151" s="190">
        <v>396</v>
      </c>
      <c r="E151" s="190">
        <f t="shared" si="56"/>
        <v>65.476190476190482</v>
      </c>
    </row>
    <row r="152" spans="1:9" ht="18.75" x14ac:dyDescent="0.25">
      <c r="A152" s="138" t="s">
        <v>846</v>
      </c>
      <c r="B152" s="147" t="s">
        <v>121</v>
      </c>
      <c r="C152" s="189">
        <f>C153</f>
        <v>4154.3999999999996</v>
      </c>
      <c r="D152" s="189">
        <f t="shared" ref="D152:D153" si="57">D153</f>
        <v>3028.5</v>
      </c>
      <c r="E152" s="189">
        <f t="shared" si="56"/>
        <v>72.898613518197578</v>
      </c>
    </row>
    <row r="153" spans="1:9" ht="18.75" x14ac:dyDescent="0.25">
      <c r="A153" s="138" t="s">
        <v>845</v>
      </c>
      <c r="B153" s="147" t="s">
        <v>122</v>
      </c>
      <c r="C153" s="189">
        <f>C154</f>
        <v>4154.3999999999996</v>
      </c>
      <c r="D153" s="189">
        <f t="shared" si="57"/>
        <v>3028.5</v>
      </c>
      <c r="E153" s="189">
        <f t="shared" si="56"/>
        <v>72.898613518197578</v>
      </c>
    </row>
    <row r="154" spans="1:9" ht="31.5" x14ac:dyDescent="0.25">
      <c r="A154" s="385" t="s">
        <v>857</v>
      </c>
      <c r="B154" s="140" t="s">
        <v>1335</v>
      </c>
      <c r="C154" s="191">
        <f>SUM(C155:C158)</f>
        <v>4154.3999999999996</v>
      </c>
      <c r="D154" s="191">
        <f t="shared" ref="D154" si="58">SUM(D155:D158)</f>
        <v>3028.5</v>
      </c>
      <c r="E154" s="190">
        <f t="shared" si="56"/>
        <v>72.898613518197578</v>
      </c>
    </row>
    <row r="155" spans="1:9" ht="110.25" x14ac:dyDescent="0.25">
      <c r="A155" s="386"/>
      <c r="B155" s="154" t="s">
        <v>811</v>
      </c>
      <c r="C155" s="191">
        <f>9263-6426.5</f>
        <v>2836.5</v>
      </c>
      <c r="D155" s="191">
        <v>2836.5</v>
      </c>
      <c r="E155" s="190">
        <f t="shared" si="56"/>
        <v>100</v>
      </c>
      <c r="H155" s="216"/>
    </row>
    <row r="156" spans="1:9" ht="140.25" customHeight="1" x14ac:dyDescent="0.25">
      <c r="A156" s="386"/>
      <c r="B156" s="154" t="s">
        <v>812</v>
      </c>
      <c r="C156" s="191">
        <f>2100.6-1908.6</f>
        <v>192</v>
      </c>
      <c r="D156" s="191">
        <v>192</v>
      </c>
      <c r="E156" s="190">
        <f t="shared" si="56"/>
        <v>100</v>
      </c>
      <c r="H156" s="216"/>
    </row>
    <row r="157" spans="1:9" ht="126" hidden="1" customHeight="1" x14ac:dyDescent="0.25">
      <c r="A157" s="358"/>
      <c r="B157" s="154" t="s">
        <v>1500</v>
      </c>
      <c r="C157" s="191">
        <f>813.5-813.5</f>
        <v>0</v>
      </c>
      <c r="D157" s="191">
        <f t="shared" ref="D157" si="59">813.5-813.5</f>
        <v>0</v>
      </c>
      <c r="E157" s="190" t="e">
        <f t="shared" si="56"/>
        <v>#DIV/0!</v>
      </c>
      <c r="H157" s="216"/>
    </row>
    <row r="158" spans="1:9" ht="51" customHeight="1" x14ac:dyDescent="0.25">
      <c r="A158" s="359" t="s">
        <v>1531</v>
      </c>
      <c r="B158" s="360" t="s">
        <v>1533</v>
      </c>
      <c r="C158" s="200">
        <f>C159</f>
        <v>1125.9000000000001</v>
      </c>
      <c r="D158" s="200">
        <f t="shared" ref="D158" si="60">D159</f>
        <v>0</v>
      </c>
      <c r="E158" s="189">
        <f t="shared" si="56"/>
        <v>0</v>
      </c>
      <c r="H158" s="216"/>
    </row>
    <row r="159" spans="1:9" ht="63.75" customHeight="1" x14ac:dyDescent="0.25">
      <c r="A159" s="281" t="s">
        <v>1530</v>
      </c>
      <c r="B159" s="154" t="s">
        <v>1532</v>
      </c>
      <c r="C159" s="191">
        <v>1125.9000000000001</v>
      </c>
      <c r="D159" s="191">
        <v>0</v>
      </c>
      <c r="E159" s="190">
        <f t="shared" si="56"/>
        <v>0</v>
      </c>
      <c r="H159" s="216"/>
    </row>
    <row r="160" spans="1:9" ht="18.75" x14ac:dyDescent="0.25">
      <c r="A160" s="19" t="s">
        <v>807</v>
      </c>
      <c r="B160" s="199" t="s">
        <v>808</v>
      </c>
      <c r="C160" s="200">
        <f>SUM(C161)</f>
        <v>22200</v>
      </c>
      <c r="D160" s="200">
        <f t="shared" ref="D160:D161" si="61">SUM(D161)</f>
        <v>769.88499999999999</v>
      </c>
      <c r="E160" s="189">
        <f t="shared" si="56"/>
        <v>3.4679504504504508</v>
      </c>
    </row>
    <row r="161" spans="1:12" ht="18.75" x14ac:dyDescent="0.25">
      <c r="A161" s="19" t="s">
        <v>809</v>
      </c>
      <c r="B161" s="199" t="s">
        <v>810</v>
      </c>
      <c r="C161" s="200">
        <f>SUM(C162)</f>
        <v>22200</v>
      </c>
      <c r="D161" s="200">
        <f t="shared" si="61"/>
        <v>769.88499999999999</v>
      </c>
      <c r="E161" s="189">
        <f t="shared" si="56"/>
        <v>3.4679504504504508</v>
      </c>
    </row>
    <row r="162" spans="1:12" ht="18.75" x14ac:dyDescent="0.25">
      <c r="A162" s="383" t="s">
        <v>880</v>
      </c>
      <c r="B162" s="203" t="s">
        <v>810</v>
      </c>
      <c r="C162" s="200">
        <f>SUM(C164:C165)</f>
        <v>22200</v>
      </c>
      <c r="D162" s="200">
        <f t="shared" ref="D162" si="62">SUM(D164:D165)</f>
        <v>769.88499999999999</v>
      </c>
      <c r="E162" s="189">
        <f t="shared" si="56"/>
        <v>3.4679504504504508</v>
      </c>
    </row>
    <row r="163" spans="1:12" ht="18.75" x14ac:dyDescent="0.25">
      <c r="A163" s="384"/>
      <c r="B163" s="203" t="s">
        <v>108</v>
      </c>
      <c r="C163" s="200"/>
      <c r="D163" s="200"/>
      <c r="E163" s="190"/>
    </row>
    <row r="164" spans="1:12" ht="84.75" customHeight="1" x14ac:dyDescent="0.25">
      <c r="A164" s="384"/>
      <c r="B164" s="201" t="s">
        <v>1490</v>
      </c>
      <c r="C164" s="191">
        <v>22200</v>
      </c>
      <c r="D164" s="191">
        <v>769.88499999999999</v>
      </c>
      <c r="E164" s="190">
        <f t="shared" si="56"/>
        <v>3.4679504504504508</v>
      </c>
      <c r="H164" s="216"/>
    </row>
    <row r="165" spans="1:12" ht="78.75" hidden="1" x14ac:dyDescent="0.25">
      <c r="A165" s="384"/>
      <c r="B165" s="377" t="s">
        <v>878</v>
      </c>
      <c r="C165" s="303">
        <v>0</v>
      </c>
      <c r="D165" s="303">
        <v>0</v>
      </c>
      <c r="E165" s="293" t="e">
        <f t="shared" si="56"/>
        <v>#DIV/0!</v>
      </c>
    </row>
    <row r="166" spans="1:12" s="375" customFormat="1" ht="31.5" x14ac:dyDescent="0.25">
      <c r="A166" s="337" t="s">
        <v>1574</v>
      </c>
      <c r="B166" s="376" t="s">
        <v>1575</v>
      </c>
      <c r="C166" s="373">
        <v>0</v>
      </c>
      <c r="D166" s="373">
        <v>-603.70000000000005</v>
      </c>
      <c r="E166" s="373" t="s">
        <v>1573</v>
      </c>
    </row>
    <row r="167" spans="1:12" s="369" customFormat="1" ht="47.25" x14ac:dyDescent="0.25">
      <c r="A167" s="336" t="s">
        <v>1576</v>
      </c>
      <c r="B167" s="201" t="s">
        <v>1577</v>
      </c>
      <c r="C167" s="374">
        <v>0</v>
      </c>
      <c r="D167" s="374">
        <v>-603.70000000000005</v>
      </c>
      <c r="E167" s="374" t="s">
        <v>1573</v>
      </c>
    </row>
    <row r="168" spans="1:12" ht="18.75" x14ac:dyDescent="0.25">
      <c r="A168" s="215"/>
      <c r="B168" s="195" t="s">
        <v>123</v>
      </c>
      <c r="C168" s="189">
        <f>SUM(C10+C86)</f>
        <v>747787</v>
      </c>
      <c r="D168" s="189">
        <f>SUM(D10+D86)</f>
        <v>352975.84</v>
      </c>
      <c r="E168" s="189">
        <f t="shared" si="56"/>
        <v>47.202724840094845</v>
      </c>
      <c r="G168" s="206"/>
      <c r="H168" s="116"/>
      <c r="I168" s="116"/>
      <c r="L168" s="116"/>
    </row>
    <row r="170" spans="1:12" x14ac:dyDescent="0.25">
      <c r="C170" s="116"/>
      <c r="D170" s="116"/>
      <c r="E170" s="116"/>
      <c r="I170" s="246"/>
    </row>
  </sheetData>
  <mergeCells count="6">
    <mergeCell ref="A7:E7"/>
    <mergeCell ref="A162:A165"/>
    <mergeCell ref="A8:C8"/>
    <mergeCell ref="A128:A145"/>
    <mergeCell ref="A111:A124"/>
    <mergeCell ref="A154:A156"/>
  </mergeCells>
  <hyperlinks>
    <hyperlink ref="B67" r:id="rId1" display="consultantplus://offline/ref=90DD075742B43C415054D7C57EEE35341F87E5BC1D9D1BDE3A747C0D881C15D50B24F795703DF0A84C588B73F9A8AC3C8A6AC02CDB9A5E68c4m2F"/>
    <hyperlink ref="B69" r:id="rId2" display="consultantplus://offline/ref=90DD075742B43C415054D7C57EEE35341F87E5BC1D9D1BDE3A747C0D881C15D50B24F795703DF2AD4E588B73F9A8AC3C8A6AC02CDB9A5E68c4m2F"/>
    <hyperlink ref="B71" r:id="rId3" display="consultantplus://offline/ref=90DD075742B43C415054D7C57EEE35341F87E5BC1D9D1BDE3A747C0D881C15D50B24F795703CF7A64B588B73F9A8AC3C8A6AC02CDB9A5E68c4m2F"/>
    <hyperlink ref="B70" r:id="rId4" display="consultantplus://offline/ref=90DD075742B43C415054D7C57EEE35341F87E5BC1D9D1BDE3A747C0D881C15D50B24F795703CF7A64B588B73F9A8AC3C8A6AC02CDB9A5E68c4m2F"/>
    <hyperlink ref="B66" r:id="rId5" display="consultantplus://offline/ref=90DD075742B43C415054D7C57EEE35341F87E5BC1D9D1BDE3A747C0D881C15D50B24F795703DF0A84C588B73F9A8AC3C8A6AC02CDB9A5E68c4m2F"/>
    <hyperlink ref="B68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66" fitToHeight="6" orientation="portrait" r:id="rId7"/>
  <colBreaks count="1" manualBreakCount="1">
    <brk id="5" max="154" man="1"/>
  </colBreaks>
  <ignoredErrors>
    <ignoredError sqref="C44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1"/>
  <sheetViews>
    <sheetView view="pageBreakPreview" topLeftCell="A1097" zoomScale="89" zoomScaleNormal="100" zoomScaleSheetLayoutView="89" workbookViewId="0">
      <selection activeCell="A895" sqref="A895:XFD899"/>
    </sheetView>
  </sheetViews>
  <sheetFormatPr defaultRowHeight="15" x14ac:dyDescent="0.25"/>
  <cols>
    <col min="1" max="1" width="55" style="332" customWidth="1"/>
    <col min="2" max="2" width="6.42578125" style="332" customWidth="1"/>
    <col min="3" max="3" width="6" style="332" customWidth="1"/>
    <col min="4" max="4" width="5.140625" style="332" customWidth="1"/>
    <col min="5" max="5" width="15.85546875" style="332" customWidth="1"/>
    <col min="6" max="6" width="7" style="332" customWidth="1"/>
    <col min="7" max="7" width="14.42578125" style="332" customWidth="1"/>
    <col min="8" max="8" width="15" style="332" customWidth="1"/>
    <col min="9" max="9" width="13.28515625" hidden="1" customWidth="1"/>
    <col min="10" max="11" width="0" hidden="1" customWidth="1"/>
    <col min="13" max="13" width="13.42578125" customWidth="1"/>
  </cols>
  <sheetData>
    <row r="1" spans="1:9" ht="18.75" x14ac:dyDescent="0.3">
      <c r="A1" s="63"/>
      <c r="B1" s="63"/>
      <c r="C1" s="63"/>
      <c r="D1" s="63"/>
      <c r="G1" s="197"/>
      <c r="H1" s="130" t="s">
        <v>1277</v>
      </c>
      <c r="I1" s="218"/>
    </row>
    <row r="2" spans="1:9" ht="18.75" x14ac:dyDescent="0.3">
      <c r="A2" s="63"/>
      <c r="B2" s="63"/>
      <c r="C2" s="63"/>
      <c r="D2" s="63"/>
      <c r="G2" s="197"/>
      <c r="H2" s="130" t="s">
        <v>1</v>
      </c>
      <c r="I2" s="218"/>
    </row>
    <row r="3" spans="1:9" s="217" customFormat="1" ht="18.75" x14ac:dyDescent="0.3">
      <c r="A3" s="63"/>
      <c r="B3" s="63"/>
      <c r="C3" s="63"/>
      <c r="D3" s="63"/>
      <c r="E3" s="332"/>
      <c r="F3" s="332"/>
      <c r="G3" s="197"/>
      <c r="H3" s="130" t="s">
        <v>1538</v>
      </c>
      <c r="I3" s="218"/>
    </row>
    <row r="4" spans="1:9" ht="15.75" x14ac:dyDescent="0.25">
      <c r="A4" s="393"/>
      <c r="B4" s="393"/>
      <c r="C4" s="393"/>
      <c r="D4" s="393"/>
      <c r="E4" s="393"/>
      <c r="F4" s="393"/>
      <c r="I4" s="218"/>
    </row>
    <row r="5" spans="1:9" ht="15.75" x14ac:dyDescent="0.25">
      <c r="A5" s="392" t="s">
        <v>1353</v>
      </c>
      <c r="B5" s="392"/>
      <c r="C5" s="392"/>
      <c r="D5" s="392"/>
      <c r="E5" s="392"/>
      <c r="F5" s="392"/>
      <c r="G5" s="392"/>
      <c r="H5" s="392"/>
      <c r="I5" s="218"/>
    </row>
    <row r="6" spans="1:9" ht="15.75" x14ac:dyDescent="0.25">
      <c r="A6" s="357"/>
      <c r="B6" s="357"/>
      <c r="C6" s="357"/>
      <c r="D6" s="357"/>
      <c r="E6" s="357"/>
      <c r="F6" s="357"/>
      <c r="I6" s="218"/>
    </row>
    <row r="7" spans="1:9" ht="15.75" x14ac:dyDescent="0.25">
      <c r="A7" s="13"/>
      <c r="B7" s="13"/>
      <c r="C7" s="13"/>
      <c r="D7" s="13"/>
      <c r="E7" s="13"/>
      <c r="F7" s="13"/>
      <c r="G7" s="194" t="s">
        <v>2</v>
      </c>
      <c r="H7" s="194"/>
      <c r="I7" s="218"/>
    </row>
    <row r="8" spans="1:9" ht="63" x14ac:dyDescent="0.25">
      <c r="A8" s="356" t="s">
        <v>126</v>
      </c>
      <c r="B8" s="356" t="s">
        <v>127</v>
      </c>
      <c r="C8" s="15" t="s">
        <v>128</v>
      </c>
      <c r="D8" s="15" t="s">
        <v>129</v>
      </c>
      <c r="E8" s="15" t="s">
        <v>130</v>
      </c>
      <c r="F8" s="15" t="s">
        <v>131</v>
      </c>
      <c r="G8" s="180" t="s">
        <v>1193</v>
      </c>
      <c r="H8" s="180" t="s">
        <v>1194</v>
      </c>
      <c r="I8" s="218"/>
    </row>
    <row r="9" spans="1:9" ht="31.5" x14ac:dyDescent="0.25">
      <c r="A9" s="337" t="s">
        <v>132</v>
      </c>
      <c r="B9" s="337">
        <v>901</v>
      </c>
      <c r="C9" s="338"/>
      <c r="D9" s="338"/>
      <c r="E9" s="338"/>
      <c r="F9" s="338"/>
      <c r="G9" s="339">
        <f>G10+G24</f>
        <v>20217</v>
      </c>
      <c r="H9" s="339">
        <f>H10+H24</f>
        <v>28071.599999999999</v>
      </c>
      <c r="I9" s="218"/>
    </row>
    <row r="10" spans="1:9" ht="15.75" x14ac:dyDescent="0.25">
      <c r="A10" s="340" t="s">
        <v>133</v>
      </c>
      <c r="B10" s="337">
        <v>901</v>
      </c>
      <c r="C10" s="341" t="s">
        <v>134</v>
      </c>
      <c r="D10" s="338"/>
      <c r="E10" s="338"/>
      <c r="F10" s="338"/>
      <c r="G10" s="339">
        <f t="shared" ref="G10:H12" si="0">G11</f>
        <v>12697.5</v>
      </c>
      <c r="H10" s="339">
        <f t="shared" si="0"/>
        <v>12697.5</v>
      </c>
      <c r="I10" s="218"/>
    </row>
    <row r="11" spans="1:9" ht="51" customHeight="1" x14ac:dyDescent="0.25">
      <c r="A11" s="340" t="s">
        <v>135</v>
      </c>
      <c r="B11" s="337">
        <v>901</v>
      </c>
      <c r="C11" s="341" t="s">
        <v>134</v>
      </c>
      <c r="D11" s="341" t="s">
        <v>136</v>
      </c>
      <c r="E11" s="341"/>
      <c r="F11" s="341"/>
      <c r="G11" s="339">
        <f t="shared" si="0"/>
        <v>12697.5</v>
      </c>
      <c r="H11" s="339">
        <f t="shared" si="0"/>
        <v>12697.5</v>
      </c>
      <c r="I11" s="218"/>
    </row>
    <row r="12" spans="1:9" ht="31.5" x14ac:dyDescent="0.25">
      <c r="A12" s="340" t="s">
        <v>990</v>
      </c>
      <c r="B12" s="337">
        <v>901</v>
      </c>
      <c r="C12" s="341" t="s">
        <v>134</v>
      </c>
      <c r="D12" s="341" t="s">
        <v>136</v>
      </c>
      <c r="E12" s="341" t="s">
        <v>904</v>
      </c>
      <c r="F12" s="341"/>
      <c r="G12" s="339">
        <f t="shared" si="0"/>
        <v>12697.5</v>
      </c>
      <c r="H12" s="339">
        <f t="shared" si="0"/>
        <v>12697.5</v>
      </c>
      <c r="I12" s="218"/>
    </row>
    <row r="13" spans="1:9" ht="15.75" x14ac:dyDescent="0.25">
      <c r="A13" s="340" t="s">
        <v>991</v>
      </c>
      <c r="B13" s="337">
        <v>901</v>
      </c>
      <c r="C13" s="341" t="s">
        <v>134</v>
      </c>
      <c r="D13" s="341" t="s">
        <v>136</v>
      </c>
      <c r="E13" s="341" t="s">
        <v>905</v>
      </c>
      <c r="F13" s="341"/>
      <c r="G13" s="339">
        <f>G14+G21</f>
        <v>12697.5</v>
      </c>
      <c r="H13" s="339">
        <f>H14+H21</f>
        <v>12697.5</v>
      </c>
      <c r="I13" s="218"/>
    </row>
    <row r="14" spans="1:9" ht="31.5" x14ac:dyDescent="0.25">
      <c r="A14" s="342" t="s">
        <v>967</v>
      </c>
      <c r="B14" s="336">
        <v>901</v>
      </c>
      <c r="C14" s="338" t="s">
        <v>134</v>
      </c>
      <c r="D14" s="338" t="s">
        <v>136</v>
      </c>
      <c r="E14" s="338" t="s">
        <v>906</v>
      </c>
      <c r="F14" s="338"/>
      <c r="G14" s="343">
        <f>G15+G17+G19</f>
        <v>12403.5</v>
      </c>
      <c r="H14" s="343">
        <f>H15+H17+H19</f>
        <v>12403.5</v>
      </c>
      <c r="I14" s="218"/>
    </row>
    <row r="15" spans="1:9" ht="78.75" x14ac:dyDescent="0.25">
      <c r="A15" s="342" t="s">
        <v>143</v>
      </c>
      <c r="B15" s="336">
        <v>901</v>
      </c>
      <c r="C15" s="338" t="s">
        <v>134</v>
      </c>
      <c r="D15" s="338" t="s">
        <v>136</v>
      </c>
      <c r="E15" s="338" t="s">
        <v>906</v>
      </c>
      <c r="F15" s="338" t="s">
        <v>144</v>
      </c>
      <c r="G15" s="343">
        <f>G16</f>
        <v>11575</v>
      </c>
      <c r="H15" s="343">
        <f>H16</f>
        <v>11575</v>
      </c>
      <c r="I15" s="218"/>
    </row>
    <row r="16" spans="1:9" ht="31.5" x14ac:dyDescent="0.25">
      <c r="A16" s="342" t="s">
        <v>145</v>
      </c>
      <c r="B16" s="336">
        <v>901</v>
      </c>
      <c r="C16" s="338" t="s">
        <v>134</v>
      </c>
      <c r="D16" s="338" t="s">
        <v>136</v>
      </c>
      <c r="E16" s="338" t="s">
        <v>906</v>
      </c>
      <c r="F16" s="338" t="s">
        <v>146</v>
      </c>
      <c r="G16" s="343">
        <f>11575</f>
        <v>11575</v>
      </c>
      <c r="H16" s="343">
        <f t="shared" ref="H16:H77" si="1">G16</f>
        <v>11575</v>
      </c>
      <c r="I16" s="218"/>
    </row>
    <row r="17" spans="1:9" ht="31.5" x14ac:dyDescent="0.25">
      <c r="A17" s="342" t="s">
        <v>147</v>
      </c>
      <c r="B17" s="336">
        <v>901</v>
      </c>
      <c r="C17" s="338" t="s">
        <v>134</v>
      </c>
      <c r="D17" s="338" t="s">
        <v>136</v>
      </c>
      <c r="E17" s="338" t="s">
        <v>906</v>
      </c>
      <c r="F17" s="338" t="s">
        <v>148</v>
      </c>
      <c r="G17" s="343">
        <f>G18</f>
        <v>800.5</v>
      </c>
      <c r="H17" s="343">
        <f>H18</f>
        <v>800.5</v>
      </c>
      <c r="I17" s="218"/>
    </row>
    <row r="18" spans="1:9" ht="31.5" x14ac:dyDescent="0.25">
      <c r="A18" s="342" t="s">
        <v>149</v>
      </c>
      <c r="B18" s="336">
        <v>901</v>
      </c>
      <c r="C18" s="338" t="s">
        <v>134</v>
      </c>
      <c r="D18" s="338" t="s">
        <v>136</v>
      </c>
      <c r="E18" s="338" t="s">
        <v>906</v>
      </c>
      <c r="F18" s="338" t="s">
        <v>150</v>
      </c>
      <c r="G18" s="343">
        <f>977+173.5-350</f>
        <v>800.5</v>
      </c>
      <c r="H18" s="343">
        <f t="shared" si="1"/>
        <v>800.5</v>
      </c>
      <c r="I18" s="218"/>
    </row>
    <row r="19" spans="1:9" ht="15.75" x14ac:dyDescent="0.25">
      <c r="A19" s="342" t="s">
        <v>151</v>
      </c>
      <c r="B19" s="336">
        <v>901</v>
      </c>
      <c r="C19" s="338" t="s">
        <v>134</v>
      </c>
      <c r="D19" s="338" t="s">
        <v>136</v>
      </c>
      <c r="E19" s="338" t="s">
        <v>906</v>
      </c>
      <c r="F19" s="338" t="s">
        <v>152</v>
      </c>
      <c r="G19" s="343">
        <f>G20</f>
        <v>28</v>
      </c>
      <c r="H19" s="343">
        <f>H20</f>
        <v>28</v>
      </c>
      <c r="I19" s="218"/>
    </row>
    <row r="20" spans="1:9" ht="15.75" x14ac:dyDescent="0.25">
      <c r="A20" s="342" t="s">
        <v>584</v>
      </c>
      <c r="B20" s="336">
        <v>901</v>
      </c>
      <c r="C20" s="338" t="s">
        <v>134</v>
      </c>
      <c r="D20" s="338" t="s">
        <v>136</v>
      </c>
      <c r="E20" s="338" t="s">
        <v>906</v>
      </c>
      <c r="F20" s="338" t="s">
        <v>154</v>
      </c>
      <c r="G20" s="343">
        <f>'Пр.4 ведом.20'!G21</f>
        <v>28</v>
      </c>
      <c r="H20" s="343">
        <f t="shared" si="1"/>
        <v>28</v>
      </c>
      <c r="I20" s="218"/>
    </row>
    <row r="21" spans="1:9" ht="47.25" x14ac:dyDescent="0.25">
      <c r="A21" s="342" t="s">
        <v>885</v>
      </c>
      <c r="B21" s="336">
        <v>901</v>
      </c>
      <c r="C21" s="338" t="s">
        <v>134</v>
      </c>
      <c r="D21" s="338" t="s">
        <v>136</v>
      </c>
      <c r="E21" s="338" t="s">
        <v>908</v>
      </c>
      <c r="F21" s="338"/>
      <c r="G21" s="343">
        <f>G22</f>
        <v>294</v>
      </c>
      <c r="H21" s="343">
        <f>H22</f>
        <v>294</v>
      </c>
      <c r="I21" s="218"/>
    </row>
    <row r="22" spans="1:9" ht="78.75" x14ac:dyDescent="0.25">
      <c r="A22" s="342" t="s">
        <v>143</v>
      </c>
      <c r="B22" s="336">
        <v>901</v>
      </c>
      <c r="C22" s="338" t="s">
        <v>134</v>
      </c>
      <c r="D22" s="338" t="s">
        <v>136</v>
      </c>
      <c r="E22" s="338" t="s">
        <v>908</v>
      </c>
      <c r="F22" s="338" t="s">
        <v>144</v>
      </c>
      <c r="G22" s="343">
        <f>G23</f>
        <v>294</v>
      </c>
      <c r="H22" s="343">
        <f>H23</f>
        <v>294</v>
      </c>
      <c r="I22" s="218"/>
    </row>
    <row r="23" spans="1:9" ht="31.5" x14ac:dyDescent="0.25">
      <c r="A23" s="342" t="s">
        <v>145</v>
      </c>
      <c r="B23" s="336">
        <v>901</v>
      </c>
      <c r="C23" s="338" t="s">
        <v>134</v>
      </c>
      <c r="D23" s="338" t="s">
        <v>136</v>
      </c>
      <c r="E23" s="338" t="s">
        <v>908</v>
      </c>
      <c r="F23" s="338" t="s">
        <v>146</v>
      </c>
      <c r="G23" s="343">
        <f>294</f>
        <v>294</v>
      </c>
      <c r="H23" s="343">
        <f t="shared" si="1"/>
        <v>294</v>
      </c>
      <c r="I23" s="218"/>
    </row>
    <row r="24" spans="1:9" s="217" customFormat="1" ht="15.75" x14ac:dyDescent="0.25">
      <c r="A24" s="340" t="s">
        <v>155</v>
      </c>
      <c r="B24" s="337">
        <v>901</v>
      </c>
      <c r="C24" s="341" t="s">
        <v>134</v>
      </c>
      <c r="D24" s="341" t="s">
        <v>156</v>
      </c>
      <c r="E24" s="341"/>
      <c r="F24" s="341"/>
      <c r="G24" s="339">
        <f t="shared" ref="G24:H28" si="2">G25</f>
        <v>7519.5</v>
      </c>
      <c r="H24" s="339">
        <f t="shared" si="2"/>
        <v>15374.1</v>
      </c>
      <c r="I24" s="218"/>
    </row>
    <row r="25" spans="1:9" s="217" customFormat="1" ht="15.75" x14ac:dyDescent="0.25">
      <c r="A25" s="340" t="s">
        <v>157</v>
      </c>
      <c r="B25" s="337">
        <v>901</v>
      </c>
      <c r="C25" s="341" t="s">
        <v>134</v>
      </c>
      <c r="D25" s="341" t="s">
        <v>156</v>
      </c>
      <c r="E25" s="341" t="s">
        <v>912</v>
      </c>
      <c r="F25" s="341"/>
      <c r="G25" s="339">
        <f t="shared" si="2"/>
        <v>7519.5</v>
      </c>
      <c r="H25" s="339">
        <f t="shared" si="2"/>
        <v>15374.1</v>
      </c>
      <c r="I25" s="218"/>
    </row>
    <row r="26" spans="1:9" s="217" customFormat="1" ht="31.5" x14ac:dyDescent="0.25">
      <c r="A26" s="340" t="s">
        <v>916</v>
      </c>
      <c r="B26" s="337">
        <v>901</v>
      </c>
      <c r="C26" s="341" t="s">
        <v>134</v>
      </c>
      <c r="D26" s="341" t="s">
        <v>156</v>
      </c>
      <c r="E26" s="341" t="s">
        <v>911</v>
      </c>
      <c r="F26" s="341"/>
      <c r="G26" s="339">
        <f t="shared" si="2"/>
        <v>7519.5</v>
      </c>
      <c r="H26" s="339">
        <f t="shared" si="2"/>
        <v>15374.1</v>
      </c>
      <c r="I26" s="218"/>
    </row>
    <row r="27" spans="1:9" s="217" customFormat="1" ht="15.75" x14ac:dyDescent="0.25">
      <c r="A27" s="342" t="s">
        <v>1357</v>
      </c>
      <c r="B27" s="336">
        <v>901</v>
      </c>
      <c r="C27" s="338" t="s">
        <v>134</v>
      </c>
      <c r="D27" s="338" t="s">
        <v>156</v>
      </c>
      <c r="E27" s="338" t="s">
        <v>1358</v>
      </c>
      <c r="F27" s="338"/>
      <c r="G27" s="343">
        <f t="shared" si="2"/>
        <v>7519.5</v>
      </c>
      <c r="H27" s="343">
        <f t="shared" si="2"/>
        <v>15374.1</v>
      </c>
      <c r="I27" s="218"/>
    </row>
    <row r="28" spans="1:9" s="217" customFormat="1" ht="15.75" x14ac:dyDescent="0.25">
      <c r="A28" s="342" t="s">
        <v>151</v>
      </c>
      <c r="B28" s="336">
        <v>901</v>
      </c>
      <c r="C28" s="338" t="s">
        <v>134</v>
      </c>
      <c r="D28" s="338" t="s">
        <v>156</v>
      </c>
      <c r="E28" s="338" t="s">
        <v>1358</v>
      </c>
      <c r="F28" s="338" t="s">
        <v>161</v>
      </c>
      <c r="G28" s="343">
        <f>G29</f>
        <v>7519.5</v>
      </c>
      <c r="H28" s="343">
        <f t="shared" si="2"/>
        <v>15374.1</v>
      </c>
      <c r="I28" s="218"/>
    </row>
    <row r="29" spans="1:9" s="217" customFormat="1" ht="15.75" x14ac:dyDescent="0.25">
      <c r="A29" s="342" t="s">
        <v>1357</v>
      </c>
      <c r="B29" s="336">
        <v>901</v>
      </c>
      <c r="C29" s="338" t="s">
        <v>134</v>
      </c>
      <c r="D29" s="338" t="s">
        <v>156</v>
      </c>
      <c r="E29" s="338" t="s">
        <v>1358</v>
      </c>
      <c r="F29" s="338" t="s">
        <v>1359</v>
      </c>
      <c r="G29" s="343">
        <f>7519.5</f>
        <v>7519.5</v>
      </c>
      <c r="H29" s="343">
        <v>15374.1</v>
      </c>
      <c r="I29" s="218"/>
    </row>
    <row r="30" spans="1:9" ht="15.75" x14ac:dyDescent="0.25">
      <c r="A30" s="337" t="s">
        <v>164</v>
      </c>
      <c r="B30" s="337">
        <v>902</v>
      </c>
      <c r="C30" s="338"/>
      <c r="D30" s="338"/>
      <c r="E30" s="338"/>
      <c r="F30" s="338"/>
      <c r="G30" s="339">
        <f>G31+G141+G160+G190+G134</f>
        <v>85978.6</v>
      </c>
      <c r="H30" s="339">
        <f>H31+H141+H160+H190+H134</f>
        <v>81035.3</v>
      </c>
      <c r="I30" s="218"/>
    </row>
    <row r="31" spans="1:9" ht="15.75" x14ac:dyDescent="0.25">
      <c r="A31" s="340" t="s">
        <v>133</v>
      </c>
      <c r="B31" s="337">
        <v>902</v>
      </c>
      <c r="C31" s="341" t="s">
        <v>134</v>
      </c>
      <c r="D31" s="338"/>
      <c r="E31" s="338"/>
      <c r="F31" s="338"/>
      <c r="G31" s="339">
        <f>G32+G87+G104+G96</f>
        <v>59374.400000000001</v>
      </c>
      <c r="H31" s="339">
        <f>H32+H87+H104+H96</f>
        <v>59431.1</v>
      </c>
      <c r="I31" s="218"/>
    </row>
    <row r="32" spans="1:9" ht="63" x14ac:dyDescent="0.25">
      <c r="A32" s="340" t="s">
        <v>165</v>
      </c>
      <c r="B32" s="337">
        <v>902</v>
      </c>
      <c r="C32" s="341" t="s">
        <v>134</v>
      </c>
      <c r="D32" s="341" t="s">
        <v>166</v>
      </c>
      <c r="E32" s="341"/>
      <c r="F32" s="341"/>
      <c r="G32" s="339">
        <f>G33+G69</f>
        <v>51574.400000000001</v>
      </c>
      <c r="H32" s="339">
        <f>H33+H69</f>
        <v>51631.1</v>
      </c>
      <c r="I32" s="218"/>
    </row>
    <row r="33" spans="1:9" ht="31.5" x14ac:dyDescent="0.25">
      <c r="A33" s="340" t="s">
        <v>990</v>
      </c>
      <c r="B33" s="337">
        <v>902</v>
      </c>
      <c r="C33" s="341" t="s">
        <v>134</v>
      </c>
      <c r="D33" s="341" t="s">
        <v>166</v>
      </c>
      <c r="E33" s="341" t="s">
        <v>904</v>
      </c>
      <c r="F33" s="341"/>
      <c r="G33" s="44">
        <f>G34+G50</f>
        <v>51050.9</v>
      </c>
      <c r="H33" s="44">
        <f>H34+H50</f>
        <v>51107.6</v>
      </c>
      <c r="I33" s="218"/>
    </row>
    <row r="34" spans="1:9" ht="15.75" x14ac:dyDescent="0.25">
      <c r="A34" s="340" t="s">
        <v>991</v>
      </c>
      <c r="B34" s="337">
        <v>902</v>
      </c>
      <c r="C34" s="341" t="s">
        <v>134</v>
      </c>
      <c r="D34" s="341" t="s">
        <v>166</v>
      </c>
      <c r="E34" s="341" t="s">
        <v>905</v>
      </c>
      <c r="F34" s="341"/>
      <c r="G34" s="44">
        <f>G35+G44+G47</f>
        <v>47928</v>
      </c>
      <c r="H34" s="44">
        <f>H35+H44+H47</f>
        <v>47918</v>
      </c>
      <c r="I34" s="218"/>
    </row>
    <row r="35" spans="1:9" ht="31.5" x14ac:dyDescent="0.25">
      <c r="A35" s="342" t="s">
        <v>967</v>
      </c>
      <c r="B35" s="336">
        <v>902</v>
      </c>
      <c r="C35" s="338" t="s">
        <v>134</v>
      </c>
      <c r="D35" s="338" t="s">
        <v>166</v>
      </c>
      <c r="E35" s="338" t="s">
        <v>906</v>
      </c>
      <c r="F35" s="338"/>
      <c r="G35" s="343">
        <f>G36+G38+G40+G42</f>
        <v>43412</v>
      </c>
      <c r="H35" s="343">
        <f>H36+H38+H40+H42</f>
        <v>43402</v>
      </c>
      <c r="I35" s="218"/>
    </row>
    <row r="36" spans="1:9" ht="78.75" x14ac:dyDescent="0.25">
      <c r="A36" s="342" t="s">
        <v>143</v>
      </c>
      <c r="B36" s="336">
        <v>902</v>
      </c>
      <c r="C36" s="338" t="s">
        <v>134</v>
      </c>
      <c r="D36" s="338" t="s">
        <v>166</v>
      </c>
      <c r="E36" s="338" t="s">
        <v>906</v>
      </c>
      <c r="F36" s="338" t="s">
        <v>144</v>
      </c>
      <c r="G36" s="343">
        <f>G37</f>
        <v>37513</v>
      </c>
      <c r="H36" s="343">
        <f>H37</f>
        <v>37513</v>
      </c>
      <c r="I36" s="218"/>
    </row>
    <row r="37" spans="1:9" ht="31.5" x14ac:dyDescent="0.25">
      <c r="A37" s="342" t="s">
        <v>145</v>
      </c>
      <c r="B37" s="336">
        <v>902</v>
      </c>
      <c r="C37" s="338" t="s">
        <v>134</v>
      </c>
      <c r="D37" s="338" t="s">
        <v>166</v>
      </c>
      <c r="E37" s="338" t="s">
        <v>906</v>
      </c>
      <c r="F37" s="338" t="s">
        <v>146</v>
      </c>
      <c r="G37" s="343">
        <f>37513</f>
        <v>37513</v>
      </c>
      <c r="H37" s="343">
        <f t="shared" si="1"/>
        <v>37513</v>
      </c>
      <c r="I37" s="218"/>
    </row>
    <row r="38" spans="1:9" ht="31.5" x14ac:dyDescent="0.25">
      <c r="A38" s="342" t="s">
        <v>147</v>
      </c>
      <c r="B38" s="336">
        <v>902</v>
      </c>
      <c r="C38" s="338" t="s">
        <v>134</v>
      </c>
      <c r="D38" s="338" t="s">
        <v>166</v>
      </c>
      <c r="E38" s="338" t="s">
        <v>906</v>
      </c>
      <c r="F38" s="338" t="s">
        <v>148</v>
      </c>
      <c r="G38" s="343">
        <f>G39</f>
        <v>5069</v>
      </c>
      <c r="H38" s="343">
        <f>H39</f>
        <v>5059</v>
      </c>
      <c r="I38" s="218"/>
    </row>
    <row r="39" spans="1:9" ht="31.5" x14ac:dyDescent="0.25">
      <c r="A39" s="342" t="s">
        <v>149</v>
      </c>
      <c r="B39" s="336">
        <v>902</v>
      </c>
      <c r="C39" s="338" t="s">
        <v>134</v>
      </c>
      <c r="D39" s="338" t="s">
        <v>166</v>
      </c>
      <c r="E39" s="338" t="s">
        <v>906</v>
      </c>
      <c r="F39" s="338" t="s">
        <v>150</v>
      </c>
      <c r="G39" s="343">
        <f>5912-809-18.9-15.1</f>
        <v>5069</v>
      </c>
      <c r="H39" s="343">
        <f>G39-10</f>
        <v>5059</v>
      </c>
      <c r="I39" s="218"/>
    </row>
    <row r="40" spans="1:9" ht="31.5" x14ac:dyDescent="0.25">
      <c r="A40" s="342" t="s">
        <v>264</v>
      </c>
      <c r="B40" s="336">
        <v>902</v>
      </c>
      <c r="C40" s="338" t="s">
        <v>134</v>
      </c>
      <c r="D40" s="338" t="s">
        <v>166</v>
      </c>
      <c r="E40" s="338" t="s">
        <v>906</v>
      </c>
      <c r="F40" s="338" t="s">
        <v>265</v>
      </c>
      <c r="G40" s="343">
        <f>G41</f>
        <v>755</v>
      </c>
      <c r="H40" s="343">
        <f>H41</f>
        <v>755</v>
      </c>
      <c r="I40" s="218"/>
    </row>
    <row r="41" spans="1:9" ht="31.5" x14ac:dyDescent="0.25">
      <c r="A41" s="342" t="s">
        <v>266</v>
      </c>
      <c r="B41" s="336">
        <v>902</v>
      </c>
      <c r="C41" s="338" t="s">
        <v>134</v>
      </c>
      <c r="D41" s="338" t="s">
        <v>166</v>
      </c>
      <c r="E41" s="338" t="s">
        <v>906</v>
      </c>
      <c r="F41" s="338" t="s">
        <v>267</v>
      </c>
      <c r="G41" s="343">
        <f>755</f>
        <v>755</v>
      </c>
      <c r="H41" s="343">
        <f t="shared" si="1"/>
        <v>755</v>
      </c>
      <c r="I41" s="218"/>
    </row>
    <row r="42" spans="1:9" ht="15.75" x14ac:dyDescent="0.25">
      <c r="A42" s="342" t="s">
        <v>151</v>
      </c>
      <c r="B42" s="336">
        <v>902</v>
      </c>
      <c r="C42" s="338" t="s">
        <v>134</v>
      </c>
      <c r="D42" s="338" t="s">
        <v>166</v>
      </c>
      <c r="E42" s="338" t="s">
        <v>906</v>
      </c>
      <c r="F42" s="338" t="s">
        <v>161</v>
      </c>
      <c r="G42" s="343">
        <f>G43</f>
        <v>75</v>
      </c>
      <c r="H42" s="343">
        <f>H43</f>
        <v>75</v>
      </c>
      <c r="I42" s="218"/>
    </row>
    <row r="43" spans="1:9" ht="15.75" x14ac:dyDescent="0.25">
      <c r="A43" s="342" t="s">
        <v>584</v>
      </c>
      <c r="B43" s="336">
        <v>902</v>
      </c>
      <c r="C43" s="338" t="s">
        <v>134</v>
      </c>
      <c r="D43" s="338" t="s">
        <v>166</v>
      </c>
      <c r="E43" s="338" t="s">
        <v>906</v>
      </c>
      <c r="F43" s="338" t="s">
        <v>154</v>
      </c>
      <c r="G43" s="343">
        <f>75</f>
        <v>75</v>
      </c>
      <c r="H43" s="343">
        <f t="shared" si="1"/>
        <v>75</v>
      </c>
      <c r="I43" s="218"/>
    </row>
    <row r="44" spans="1:9" ht="31.5" x14ac:dyDescent="0.25">
      <c r="A44" s="342" t="s">
        <v>886</v>
      </c>
      <c r="B44" s="336">
        <v>902</v>
      </c>
      <c r="C44" s="338" t="s">
        <v>134</v>
      </c>
      <c r="D44" s="338" t="s">
        <v>166</v>
      </c>
      <c r="E44" s="338" t="s">
        <v>907</v>
      </c>
      <c r="F44" s="338"/>
      <c r="G44" s="343">
        <f>G45</f>
        <v>2962</v>
      </c>
      <c r="H44" s="343">
        <f t="shared" si="1"/>
        <v>2962</v>
      </c>
      <c r="I44" s="218"/>
    </row>
    <row r="45" spans="1:9" ht="78.75" x14ac:dyDescent="0.25">
      <c r="A45" s="342" t="s">
        <v>143</v>
      </c>
      <c r="B45" s="336">
        <v>902</v>
      </c>
      <c r="C45" s="338" t="s">
        <v>134</v>
      </c>
      <c r="D45" s="338" t="s">
        <v>166</v>
      </c>
      <c r="E45" s="338" t="s">
        <v>907</v>
      </c>
      <c r="F45" s="338" t="s">
        <v>144</v>
      </c>
      <c r="G45" s="343">
        <f>G46</f>
        <v>2962</v>
      </c>
      <c r="H45" s="343">
        <f>H46</f>
        <v>2962</v>
      </c>
      <c r="I45" s="218"/>
    </row>
    <row r="46" spans="1:9" ht="31.5" x14ac:dyDescent="0.25">
      <c r="A46" s="342" t="s">
        <v>145</v>
      </c>
      <c r="B46" s="336">
        <v>902</v>
      </c>
      <c r="C46" s="338" t="s">
        <v>134</v>
      </c>
      <c r="D46" s="338" t="s">
        <v>166</v>
      </c>
      <c r="E46" s="338" t="s">
        <v>907</v>
      </c>
      <c r="F46" s="338" t="s">
        <v>146</v>
      </c>
      <c r="G46" s="343">
        <f>2962</f>
        <v>2962</v>
      </c>
      <c r="H46" s="343">
        <f t="shared" si="1"/>
        <v>2962</v>
      </c>
      <c r="I46" s="218"/>
    </row>
    <row r="47" spans="1:9" ht="47.25" x14ac:dyDescent="0.25">
      <c r="A47" s="342" t="s">
        <v>885</v>
      </c>
      <c r="B47" s="336">
        <v>902</v>
      </c>
      <c r="C47" s="338" t="s">
        <v>134</v>
      </c>
      <c r="D47" s="338" t="s">
        <v>166</v>
      </c>
      <c r="E47" s="338" t="s">
        <v>908</v>
      </c>
      <c r="F47" s="338"/>
      <c r="G47" s="343">
        <f>G48</f>
        <v>1554</v>
      </c>
      <c r="H47" s="343">
        <f>H48</f>
        <v>1554</v>
      </c>
      <c r="I47" s="218"/>
    </row>
    <row r="48" spans="1:9" ht="78.75" x14ac:dyDescent="0.25">
      <c r="A48" s="342" t="s">
        <v>143</v>
      </c>
      <c r="B48" s="336">
        <v>902</v>
      </c>
      <c r="C48" s="338" t="s">
        <v>134</v>
      </c>
      <c r="D48" s="338" t="s">
        <v>166</v>
      </c>
      <c r="E48" s="338" t="s">
        <v>908</v>
      </c>
      <c r="F48" s="338" t="s">
        <v>144</v>
      </c>
      <c r="G48" s="343">
        <f>G49</f>
        <v>1554</v>
      </c>
      <c r="H48" s="343">
        <f>H49</f>
        <v>1554</v>
      </c>
      <c r="I48" s="218"/>
    </row>
    <row r="49" spans="1:9" ht="31.5" x14ac:dyDescent="0.25">
      <c r="A49" s="342" t="s">
        <v>145</v>
      </c>
      <c r="B49" s="336">
        <v>902</v>
      </c>
      <c r="C49" s="338" t="s">
        <v>134</v>
      </c>
      <c r="D49" s="338" t="s">
        <v>166</v>
      </c>
      <c r="E49" s="338" t="s">
        <v>908</v>
      </c>
      <c r="F49" s="338" t="s">
        <v>146</v>
      </c>
      <c r="G49" s="343">
        <f>1554</f>
        <v>1554</v>
      </c>
      <c r="H49" s="343">
        <f t="shared" si="1"/>
        <v>1554</v>
      </c>
      <c r="I49" s="218"/>
    </row>
    <row r="50" spans="1:9" ht="31.5" x14ac:dyDescent="0.25">
      <c r="A50" s="340" t="s">
        <v>932</v>
      </c>
      <c r="B50" s="337">
        <v>902</v>
      </c>
      <c r="C50" s="341" t="s">
        <v>134</v>
      </c>
      <c r="D50" s="341" t="s">
        <v>166</v>
      </c>
      <c r="E50" s="341" t="s">
        <v>909</v>
      </c>
      <c r="F50" s="341"/>
      <c r="G50" s="339">
        <f>G51+G54+G59+G64</f>
        <v>3122.9</v>
      </c>
      <c r="H50" s="339">
        <f>H51+H54+H59+H64</f>
        <v>3189.6</v>
      </c>
      <c r="I50" s="218"/>
    </row>
    <row r="51" spans="1:9" ht="47.25" x14ac:dyDescent="0.25">
      <c r="A51" s="342" t="s">
        <v>802</v>
      </c>
      <c r="B51" s="336">
        <v>902</v>
      </c>
      <c r="C51" s="338" t="s">
        <v>134</v>
      </c>
      <c r="D51" s="338" t="s">
        <v>166</v>
      </c>
      <c r="E51" s="338" t="s">
        <v>992</v>
      </c>
      <c r="F51" s="341"/>
      <c r="G51" s="343">
        <f>G52</f>
        <v>6.3</v>
      </c>
      <c r="H51" s="343">
        <f>H52</f>
        <v>51</v>
      </c>
      <c r="I51" s="218"/>
    </row>
    <row r="52" spans="1:9" ht="31.5" x14ac:dyDescent="0.25">
      <c r="A52" s="342" t="s">
        <v>147</v>
      </c>
      <c r="B52" s="336">
        <v>902</v>
      </c>
      <c r="C52" s="338" t="s">
        <v>134</v>
      </c>
      <c r="D52" s="338" t="s">
        <v>166</v>
      </c>
      <c r="E52" s="338" t="s">
        <v>992</v>
      </c>
      <c r="F52" s="338" t="s">
        <v>148</v>
      </c>
      <c r="G52" s="343">
        <f>G53</f>
        <v>6.3</v>
      </c>
      <c r="H52" s="343">
        <f>H53</f>
        <v>51</v>
      </c>
      <c r="I52" s="218"/>
    </row>
    <row r="53" spans="1:9" ht="31.5" x14ac:dyDescent="0.25">
      <c r="A53" s="342" t="s">
        <v>149</v>
      </c>
      <c r="B53" s="336">
        <v>902</v>
      </c>
      <c r="C53" s="338" t="s">
        <v>134</v>
      </c>
      <c r="D53" s="338" t="s">
        <v>166</v>
      </c>
      <c r="E53" s="338" t="s">
        <v>992</v>
      </c>
      <c r="F53" s="338" t="s">
        <v>150</v>
      </c>
      <c r="G53" s="343">
        <v>6.3</v>
      </c>
      <c r="H53" s="343">
        <v>51</v>
      </c>
      <c r="I53" s="218"/>
    </row>
    <row r="54" spans="1:9" ht="47.25" x14ac:dyDescent="0.25">
      <c r="A54" s="31" t="s">
        <v>205</v>
      </c>
      <c r="B54" s="336">
        <v>902</v>
      </c>
      <c r="C54" s="338" t="s">
        <v>134</v>
      </c>
      <c r="D54" s="338" t="s">
        <v>166</v>
      </c>
      <c r="E54" s="338" t="s">
        <v>993</v>
      </c>
      <c r="F54" s="338"/>
      <c r="G54" s="343">
        <f>G55+G57</f>
        <v>567.40000000000009</v>
      </c>
      <c r="H54" s="343">
        <f>H55+H57</f>
        <v>589.40000000000009</v>
      </c>
      <c r="I54" s="218"/>
    </row>
    <row r="55" spans="1:9" ht="78.75" x14ac:dyDescent="0.25">
      <c r="A55" s="342" t="s">
        <v>143</v>
      </c>
      <c r="B55" s="336">
        <v>902</v>
      </c>
      <c r="C55" s="338" t="s">
        <v>134</v>
      </c>
      <c r="D55" s="338" t="s">
        <v>166</v>
      </c>
      <c r="E55" s="338" t="s">
        <v>993</v>
      </c>
      <c r="F55" s="338" t="s">
        <v>144</v>
      </c>
      <c r="G55" s="343">
        <f>G56</f>
        <v>528.70000000000005</v>
      </c>
      <c r="H55" s="343">
        <f>H56</f>
        <v>528.70000000000005</v>
      </c>
      <c r="I55" s="218"/>
    </row>
    <row r="56" spans="1:9" ht="31.5" x14ac:dyDescent="0.25">
      <c r="A56" s="342" t="s">
        <v>145</v>
      </c>
      <c r="B56" s="336">
        <v>902</v>
      </c>
      <c r="C56" s="338" t="s">
        <v>134</v>
      </c>
      <c r="D56" s="338" t="s">
        <v>166</v>
      </c>
      <c r="E56" s="338" t="s">
        <v>993</v>
      </c>
      <c r="F56" s="338" t="s">
        <v>146</v>
      </c>
      <c r="G56" s="343">
        <f>528.7</f>
        <v>528.70000000000005</v>
      </c>
      <c r="H56" s="343">
        <f t="shared" si="1"/>
        <v>528.70000000000005</v>
      </c>
      <c r="I56" s="218"/>
    </row>
    <row r="57" spans="1:9" ht="31.5" x14ac:dyDescent="0.25">
      <c r="A57" s="342" t="s">
        <v>147</v>
      </c>
      <c r="B57" s="336">
        <v>902</v>
      </c>
      <c r="C57" s="338" t="s">
        <v>134</v>
      </c>
      <c r="D57" s="338" t="s">
        <v>166</v>
      </c>
      <c r="E57" s="338" t="s">
        <v>993</v>
      </c>
      <c r="F57" s="338" t="s">
        <v>148</v>
      </c>
      <c r="G57" s="343">
        <f>G58</f>
        <v>38.700000000000003</v>
      </c>
      <c r="H57" s="343">
        <f>H58</f>
        <v>60.7</v>
      </c>
      <c r="I57" s="218"/>
    </row>
    <row r="58" spans="1:9" ht="31.5" x14ac:dyDescent="0.25">
      <c r="A58" s="342" t="s">
        <v>149</v>
      </c>
      <c r="B58" s="336">
        <v>902</v>
      </c>
      <c r="C58" s="338" t="s">
        <v>134</v>
      </c>
      <c r="D58" s="338" t="s">
        <v>166</v>
      </c>
      <c r="E58" s="338" t="s">
        <v>993</v>
      </c>
      <c r="F58" s="338" t="s">
        <v>150</v>
      </c>
      <c r="G58" s="343">
        <v>38.700000000000003</v>
      </c>
      <c r="H58" s="343">
        <v>60.7</v>
      </c>
      <c r="I58" s="218"/>
    </row>
    <row r="59" spans="1:9" ht="47.25" x14ac:dyDescent="0.25">
      <c r="A59" s="31" t="s">
        <v>210</v>
      </c>
      <c r="B59" s="336">
        <v>902</v>
      </c>
      <c r="C59" s="338" t="s">
        <v>134</v>
      </c>
      <c r="D59" s="338" t="s">
        <v>166</v>
      </c>
      <c r="E59" s="338" t="s">
        <v>1195</v>
      </c>
      <c r="F59" s="338"/>
      <c r="G59" s="343">
        <f>G60+G62</f>
        <v>1433.3</v>
      </c>
      <c r="H59" s="343">
        <f>H60+H62</f>
        <v>1433.3</v>
      </c>
      <c r="I59" s="218"/>
    </row>
    <row r="60" spans="1:9" ht="78.75" x14ac:dyDescent="0.25">
      <c r="A60" s="342" t="s">
        <v>143</v>
      </c>
      <c r="B60" s="336">
        <v>902</v>
      </c>
      <c r="C60" s="338" t="s">
        <v>134</v>
      </c>
      <c r="D60" s="338" t="s">
        <v>166</v>
      </c>
      <c r="E60" s="338" t="s">
        <v>1195</v>
      </c>
      <c r="F60" s="338" t="s">
        <v>144</v>
      </c>
      <c r="G60" s="343">
        <f>G61</f>
        <v>1372.1</v>
      </c>
      <c r="H60" s="343">
        <f>H61</f>
        <v>1372.1</v>
      </c>
      <c r="I60" s="218"/>
    </row>
    <row r="61" spans="1:9" ht="31.5" x14ac:dyDescent="0.25">
      <c r="A61" s="342" t="s">
        <v>145</v>
      </c>
      <c r="B61" s="336">
        <v>902</v>
      </c>
      <c r="C61" s="338" t="s">
        <v>134</v>
      </c>
      <c r="D61" s="338" t="s">
        <v>166</v>
      </c>
      <c r="E61" s="338" t="s">
        <v>1195</v>
      </c>
      <c r="F61" s="338" t="s">
        <v>146</v>
      </c>
      <c r="G61" s="343">
        <f>1372.1</f>
        <v>1372.1</v>
      </c>
      <c r="H61" s="343">
        <f t="shared" si="1"/>
        <v>1372.1</v>
      </c>
      <c r="I61" s="218"/>
    </row>
    <row r="62" spans="1:9" ht="31.5" x14ac:dyDescent="0.25">
      <c r="A62" s="342" t="s">
        <v>147</v>
      </c>
      <c r="B62" s="336">
        <v>902</v>
      </c>
      <c r="C62" s="338" t="s">
        <v>134</v>
      </c>
      <c r="D62" s="338" t="s">
        <v>166</v>
      </c>
      <c r="E62" s="338" t="s">
        <v>1195</v>
      </c>
      <c r="F62" s="338" t="s">
        <v>148</v>
      </c>
      <c r="G62" s="343">
        <f>G63</f>
        <v>61.2</v>
      </c>
      <c r="H62" s="343">
        <f>H63</f>
        <v>61.2</v>
      </c>
      <c r="I62" s="218"/>
    </row>
    <row r="63" spans="1:9" ht="31.5" x14ac:dyDescent="0.25">
      <c r="A63" s="342" t="s">
        <v>149</v>
      </c>
      <c r="B63" s="336">
        <v>902</v>
      </c>
      <c r="C63" s="338" t="s">
        <v>134</v>
      </c>
      <c r="D63" s="338" t="s">
        <v>166</v>
      </c>
      <c r="E63" s="338" t="s">
        <v>1195</v>
      </c>
      <c r="F63" s="338" t="s">
        <v>150</v>
      </c>
      <c r="G63" s="343">
        <f>61.2</f>
        <v>61.2</v>
      </c>
      <c r="H63" s="343">
        <f t="shared" si="1"/>
        <v>61.2</v>
      </c>
      <c r="I63" s="218"/>
    </row>
    <row r="64" spans="1:9" ht="47.25" x14ac:dyDescent="0.25">
      <c r="A64" s="31" t="s">
        <v>212</v>
      </c>
      <c r="B64" s="336">
        <v>902</v>
      </c>
      <c r="C64" s="338" t="s">
        <v>134</v>
      </c>
      <c r="D64" s="338" t="s">
        <v>166</v>
      </c>
      <c r="E64" s="338" t="s">
        <v>994</v>
      </c>
      <c r="F64" s="338"/>
      <c r="G64" s="343">
        <f>G65+G67</f>
        <v>1115.9000000000001</v>
      </c>
      <c r="H64" s="343">
        <f>H65+H67</f>
        <v>1115.9000000000001</v>
      </c>
      <c r="I64" s="218"/>
    </row>
    <row r="65" spans="1:9" ht="78.75" x14ac:dyDescent="0.25">
      <c r="A65" s="342" t="s">
        <v>143</v>
      </c>
      <c r="B65" s="336">
        <v>902</v>
      </c>
      <c r="C65" s="338" t="s">
        <v>134</v>
      </c>
      <c r="D65" s="338" t="s">
        <v>166</v>
      </c>
      <c r="E65" s="338" t="s">
        <v>994</v>
      </c>
      <c r="F65" s="338" t="s">
        <v>144</v>
      </c>
      <c r="G65" s="343">
        <f>G66</f>
        <v>1026.5</v>
      </c>
      <c r="H65" s="343">
        <f>H66</f>
        <v>1026.5</v>
      </c>
      <c r="I65" s="218"/>
    </row>
    <row r="66" spans="1:9" ht="31.5" x14ac:dyDescent="0.25">
      <c r="A66" s="342" t="s">
        <v>145</v>
      </c>
      <c r="B66" s="336">
        <v>902</v>
      </c>
      <c r="C66" s="338" t="s">
        <v>134</v>
      </c>
      <c r="D66" s="338" t="s">
        <v>166</v>
      </c>
      <c r="E66" s="338" t="s">
        <v>994</v>
      </c>
      <c r="F66" s="338" t="s">
        <v>146</v>
      </c>
      <c r="G66" s="343">
        <f>1026.5</f>
        <v>1026.5</v>
      </c>
      <c r="H66" s="343">
        <f t="shared" si="1"/>
        <v>1026.5</v>
      </c>
      <c r="I66" s="218"/>
    </row>
    <row r="67" spans="1:9" ht="31.5" x14ac:dyDescent="0.25">
      <c r="A67" s="342" t="s">
        <v>214</v>
      </c>
      <c r="B67" s="336">
        <v>902</v>
      </c>
      <c r="C67" s="338" t="s">
        <v>134</v>
      </c>
      <c r="D67" s="338" t="s">
        <v>166</v>
      </c>
      <c r="E67" s="338" t="s">
        <v>994</v>
      </c>
      <c r="F67" s="338" t="s">
        <v>148</v>
      </c>
      <c r="G67" s="343">
        <f>G68</f>
        <v>89.4</v>
      </c>
      <c r="H67" s="343">
        <f>H68</f>
        <v>89.4</v>
      </c>
      <c r="I67" s="218"/>
    </row>
    <row r="68" spans="1:9" ht="31.5" x14ac:dyDescent="0.25">
      <c r="A68" s="342" t="s">
        <v>149</v>
      </c>
      <c r="B68" s="336">
        <v>902</v>
      </c>
      <c r="C68" s="338" t="s">
        <v>134</v>
      </c>
      <c r="D68" s="338" t="s">
        <v>166</v>
      </c>
      <c r="E68" s="338" t="s">
        <v>994</v>
      </c>
      <c r="F68" s="338" t="s">
        <v>150</v>
      </c>
      <c r="G68" s="343">
        <f>89.4</f>
        <v>89.4</v>
      </c>
      <c r="H68" s="343">
        <f t="shared" si="1"/>
        <v>89.4</v>
      </c>
      <c r="I68" s="218"/>
    </row>
    <row r="69" spans="1:9" ht="47.25" x14ac:dyDescent="0.25">
      <c r="A69" s="340" t="s">
        <v>1422</v>
      </c>
      <c r="B69" s="337">
        <v>902</v>
      </c>
      <c r="C69" s="341" t="s">
        <v>134</v>
      </c>
      <c r="D69" s="341" t="s">
        <v>166</v>
      </c>
      <c r="E69" s="341" t="s">
        <v>178</v>
      </c>
      <c r="F69" s="341"/>
      <c r="G69" s="339">
        <f>G70+G74+G80</f>
        <v>523.5</v>
      </c>
      <c r="H69" s="339">
        <f>H70+H74+H80</f>
        <v>523.5</v>
      </c>
      <c r="I69" s="218"/>
    </row>
    <row r="70" spans="1:9" ht="63" x14ac:dyDescent="0.25">
      <c r="A70" s="233" t="s">
        <v>1155</v>
      </c>
      <c r="B70" s="337">
        <v>902</v>
      </c>
      <c r="C70" s="341" t="s">
        <v>134</v>
      </c>
      <c r="D70" s="341" t="s">
        <v>166</v>
      </c>
      <c r="E70" s="334" t="s">
        <v>895</v>
      </c>
      <c r="F70" s="341"/>
      <c r="G70" s="339">
        <f t="shared" ref="G70:H72" si="3">G71</f>
        <v>446</v>
      </c>
      <c r="H70" s="339">
        <f t="shared" si="3"/>
        <v>446</v>
      </c>
      <c r="I70" s="218"/>
    </row>
    <row r="71" spans="1:9" ht="31.5" x14ac:dyDescent="0.25">
      <c r="A71" s="345" t="s">
        <v>1154</v>
      </c>
      <c r="B71" s="336">
        <v>902</v>
      </c>
      <c r="C71" s="338" t="s">
        <v>134</v>
      </c>
      <c r="D71" s="338" t="s">
        <v>166</v>
      </c>
      <c r="E71" s="346" t="s">
        <v>887</v>
      </c>
      <c r="F71" s="338"/>
      <c r="G71" s="343">
        <f t="shared" si="3"/>
        <v>446</v>
      </c>
      <c r="H71" s="343">
        <f t="shared" si="3"/>
        <v>446</v>
      </c>
      <c r="I71" s="218"/>
    </row>
    <row r="72" spans="1:9" ht="31.5" x14ac:dyDescent="0.25">
      <c r="A72" s="342" t="s">
        <v>147</v>
      </c>
      <c r="B72" s="336">
        <v>902</v>
      </c>
      <c r="C72" s="338" t="s">
        <v>134</v>
      </c>
      <c r="D72" s="338" t="s">
        <v>166</v>
      </c>
      <c r="E72" s="346" t="s">
        <v>887</v>
      </c>
      <c r="F72" s="338" t="s">
        <v>148</v>
      </c>
      <c r="G72" s="343">
        <f t="shared" si="3"/>
        <v>446</v>
      </c>
      <c r="H72" s="343">
        <f t="shared" si="3"/>
        <v>446</v>
      </c>
      <c r="I72" s="218"/>
    </row>
    <row r="73" spans="1:9" ht="31.5" x14ac:dyDescent="0.25">
      <c r="A73" s="342" t="s">
        <v>149</v>
      </c>
      <c r="B73" s="336">
        <v>902</v>
      </c>
      <c r="C73" s="338" t="s">
        <v>134</v>
      </c>
      <c r="D73" s="338" t="s">
        <v>166</v>
      </c>
      <c r="E73" s="346" t="s">
        <v>887</v>
      </c>
      <c r="F73" s="338" t="s">
        <v>150</v>
      </c>
      <c r="G73" s="343">
        <f>446</f>
        <v>446</v>
      </c>
      <c r="H73" s="343">
        <f t="shared" si="1"/>
        <v>446</v>
      </c>
      <c r="I73" s="218"/>
    </row>
    <row r="74" spans="1:9" ht="63" x14ac:dyDescent="0.25">
      <c r="A74" s="232" t="s">
        <v>889</v>
      </c>
      <c r="B74" s="337">
        <v>902</v>
      </c>
      <c r="C74" s="341" t="s">
        <v>134</v>
      </c>
      <c r="D74" s="341" t="s">
        <v>166</v>
      </c>
      <c r="E74" s="334" t="s">
        <v>896</v>
      </c>
      <c r="F74" s="341"/>
      <c r="G74" s="339">
        <f>G75</f>
        <v>77</v>
      </c>
      <c r="H74" s="339">
        <f>H75</f>
        <v>77</v>
      </c>
      <c r="I74" s="218"/>
    </row>
    <row r="75" spans="1:9" ht="47.25" x14ac:dyDescent="0.25">
      <c r="A75" s="178" t="s">
        <v>181</v>
      </c>
      <c r="B75" s="336">
        <v>902</v>
      </c>
      <c r="C75" s="338" t="s">
        <v>134</v>
      </c>
      <c r="D75" s="338" t="s">
        <v>166</v>
      </c>
      <c r="E75" s="346" t="s">
        <v>888</v>
      </c>
      <c r="F75" s="338"/>
      <c r="G75" s="343">
        <f>G76+G78</f>
        <v>77</v>
      </c>
      <c r="H75" s="343">
        <f>H76+H78</f>
        <v>77</v>
      </c>
      <c r="I75" s="218"/>
    </row>
    <row r="76" spans="1:9" ht="78.75" x14ac:dyDescent="0.25">
      <c r="A76" s="342" t="s">
        <v>143</v>
      </c>
      <c r="B76" s="336">
        <v>902</v>
      </c>
      <c r="C76" s="338" t="s">
        <v>134</v>
      </c>
      <c r="D76" s="338" t="s">
        <v>166</v>
      </c>
      <c r="E76" s="346" t="s">
        <v>888</v>
      </c>
      <c r="F76" s="338" t="s">
        <v>144</v>
      </c>
      <c r="G76" s="343">
        <f>G77</f>
        <v>37</v>
      </c>
      <c r="H76" s="343">
        <f>H77</f>
        <v>37</v>
      </c>
      <c r="I76" s="218"/>
    </row>
    <row r="77" spans="1:9" ht="31.5" x14ac:dyDescent="0.25">
      <c r="A77" s="342" t="s">
        <v>145</v>
      </c>
      <c r="B77" s="336">
        <v>902</v>
      </c>
      <c r="C77" s="338" t="s">
        <v>134</v>
      </c>
      <c r="D77" s="338" t="s">
        <v>166</v>
      </c>
      <c r="E77" s="346" t="s">
        <v>888</v>
      </c>
      <c r="F77" s="338" t="s">
        <v>146</v>
      </c>
      <c r="G77" s="343">
        <f>37</f>
        <v>37</v>
      </c>
      <c r="H77" s="343">
        <f t="shared" si="1"/>
        <v>37</v>
      </c>
      <c r="I77" s="218"/>
    </row>
    <row r="78" spans="1:9" ht="31.5" x14ac:dyDescent="0.25">
      <c r="A78" s="342" t="s">
        <v>147</v>
      </c>
      <c r="B78" s="336">
        <v>902</v>
      </c>
      <c r="C78" s="338" t="s">
        <v>134</v>
      </c>
      <c r="D78" s="338" t="s">
        <v>166</v>
      </c>
      <c r="E78" s="346" t="s">
        <v>888</v>
      </c>
      <c r="F78" s="338" t="s">
        <v>148</v>
      </c>
      <c r="G78" s="343">
        <f>G79</f>
        <v>40</v>
      </c>
      <c r="H78" s="343">
        <f>H79</f>
        <v>40</v>
      </c>
      <c r="I78" s="218"/>
    </row>
    <row r="79" spans="1:9" ht="31.5" x14ac:dyDescent="0.25">
      <c r="A79" s="342" t="s">
        <v>149</v>
      </c>
      <c r="B79" s="336">
        <v>902</v>
      </c>
      <c r="C79" s="338" t="s">
        <v>134</v>
      </c>
      <c r="D79" s="338" t="s">
        <v>166</v>
      </c>
      <c r="E79" s="346" t="s">
        <v>888</v>
      </c>
      <c r="F79" s="338" t="s">
        <v>150</v>
      </c>
      <c r="G79" s="343">
        <f>40</f>
        <v>40</v>
      </c>
      <c r="H79" s="343">
        <f t="shared" ref="H79:H147" si="4">G79</f>
        <v>40</v>
      </c>
      <c r="I79" s="218"/>
    </row>
    <row r="80" spans="1:9" ht="63" x14ac:dyDescent="0.25">
      <c r="A80" s="234" t="s">
        <v>1156</v>
      </c>
      <c r="B80" s="337">
        <v>902</v>
      </c>
      <c r="C80" s="341" t="s">
        <v>134</v>
      </c>
      <c r="D80" s="341" t="s">
        <v>166</v>
      </c>
      <c r="E80" s="334" t="s">
        <v>897</v>
      </c>
      <c r="F80" s="341"/>
      <c r="G80" s="339">
        <f>G81+G84</f>
        <v>0.5</v>
      </c>
      <c r="H80" s="339">
        <f>H81+H84</f>
        <v>0.5</v>
      </c>
      <c r="I80" s="218"/>
    </row>
    <row r="81" spans="1:9" ht="47.25" x14ac:dyDescent="0.25">
      <c r="A81" s="33" t="s">
        <v>207</v>
      </c>
      <c r="B81" s="336">
        <v>902</v>
      </c>
      <c r="C81" s="338" t="s">
        <v>134</v>
      </c>
      <c r="D81" s="338" t="s">
        <v>166</v>
      </c>
      <c r="E81" s="346" t="s">
        <v>890</v>
      </c>
      <c r="F81" s="338"/>
      <c r="G81" s="343">
        <f>G82</f>
        <v>0.5</v>
      </c>
      <c r="H81" s="343">
        <f>H82</f>
        <v>0.5</v>
      </c>
      <c r="I81" s="218"/>
    </row>
    <row r="82" spans="1:9" ht="31.5" x14ac:dyDescent="0.25">
      <c r="A82" s="342" t="s">
        <v>147</v>
      </c>
      <c r="B82" s="336">
        <v>902</v>
      </c>
      <c r="C82" s="338" t="s">
        <v>134</v>
      </c>
      <c r="D82" s="338" t="s">
        <v>166</v>
      </c>
      <c r="E82" s="346" t="s">
        <v>890</v>
      </c>
      <c r="F82" s="338" t="s">
        <v>148</v>
      </c>
      <c r="G82" s="343">
        <f>G83</f>
        <v>0.5</v>
      </c>
      <c r="H82" s="343">
        <f>H83</f>
        <v>0.5</v>
      </c>
      <c r="I82" s="218"/>
    </row>
    <row r="83" spans="1:9" ht="31.5" x14ac:dyDescent="0.25">
      <c r="A83" s="342" t="s">
        <v>149</v>
      </c>
      <c r="B83" s="336">
        <v>902</v>
      </c>
      <c r="C83" s="338" t="s">
        <v>134</v>
      </c>
      <c r="D83" s="338" t="s">
        <v>166</v>
      </c>
      <c r="E83" s="346" t="s">
        <v>890</v>
      </c>
      <c r="F83" s="338" t="s">
        <v>150</v>
      </c>
      <c r="G83" s="343">
        <f>0.5</f>
        <v>0.5</v>
      </c>
      <c r="H83" s="343">
        <f t="shared" si="4"/>
        <v>0.5</v>
      </c>
      <c r="I83" s="218"/>
    </row>
    <row r="84" spans="1:9" ht="47.25" hidden="1" x14ac:dyDescent="0.25">
      <c r="A84" s="33" t="s">
        <v>207</v>
      </c>
      <c r="B84" s="336">
        <v>902</v>
      </c>
      <c r="C84" s="338" t="s">
        <v>134</v>
      </c>
      <c r="D84" s="338" t="s">
        <v>166</v>
      </c>
      <c r="E84" s="338" t="s">
        <v>891</v>
      </c>
      <c r="F84" s="338"/>
      <c r="G84" s="343">
        <f>'Пр.4 ведом.20'!G84</f>
        <v>0</v>
      </c>
      <c r="H84" s="343">
        <f t="shared" si="4"/>
        <v>0</v>
      </c>
      <c r="I84" s="218"/>
    </row>
    <row r="85" spans="1:9" ht="31.5" hidden="1" x14ac:dyDescent="0.25">
      <c r="A85" s="342" t="s">
        <v>147</v>
      </c>
      <c r="B85" s="336">
        <v>902</v>
      </c>
      <c r="C85" s="338" t="s">
        <v>134</v>
      </c>
      <c r="D85" s="338" t="s">
        <v>166</v>
      </c>
      <c r="E85" s="338" t="s">
        <v>891</v>
      </c>
      <c r="F85" s="338" t="s">
        <v>148</v>
      </c>
      <c r="G85" s="343">
        <f>'Пр.4 ведом.20'!G85</f>
        <v>0</v>
      </c>
      <c r="H85" s="343">
        <f t="shared" si="4"/>
        <v>0</v>
      </c>
      <c r="I85" s="218"/>
    </row>
    <row r="86" spans="1:9" ht="31.5" hidden="1" x14ac:dyDescent="0.25">
      <c r="A86" s="342" t="s">
        <v>149</v>
      </c>
      <c r="B86" s="336">
        <v>902</v>
      </c>
      <c r="C86" s="338" t="s">
        <v>134</v>
      </c>
      <c r="D86" s="338" t="s">
        <v>166</v>
      </c>
      <c r="E86" s="338" t="s">
        <v>891</v>
      </c>
      <c r="F86" s="338" t="s">
        <v>150</v>
      </c>
      <c r="G86" s="343">
        <f>'Пр.4 ведом.20'!G86</f>
        <v>0</v>
      </c>
      <c r="H86" s="343">
        <f t="shared" si="4"/>
        <v>0</v>
      </c>
      <c r="I86" s="218"/>
    </row>
    <row r="87" spans="1:9" ht="47.25" x14ac:dyDescent="0.25">
      <c r="A87" s="340" t="s">
        <v>135</v>
      </c>
      <c r="B87" s="337">
        <v>902</v>
      </c>
      <c r="C87" s="341" t="s">
        <v>134</v>
      </c>
      <c r="D87" s="341" t="s">
        <v>136</v>
      </c>
      <c r="E87" s="341"/>
      <c r="F87" s="338"/>
      <c r="G87" s="339">
        <f>G88</f>
        <v>940</v>
      </c>
      <c r="H87" s="339">
        <f>H88</f>
        <v>940</v>
      </c>
      <c r="I87" s="218"/>
    </row>
    <row r="88" spans="1:9" ht="31.5" x14ac:dyDescent="0.25">
      <c r="A88" s="340" t="s">
        <v>990</v>
      </c>
      <c r="B88" s="337">
        <v>902</v>
      </c>
      <c r="C88" s="341" t="s">
        <v>134</v>
      </c>
      <c r="D88" s="341" t="s">
        <v>136</v>
      </c>
      <c r="E88" s="341" t="s">
        <v>904</v>
      </c>
      <c r="F88" s="341"/>
      <c r="G88" s="339">
        <f>G89</f>
        <v>940</v>
      </c>
      <c r="H88" s="339">
        <f>H89</f>
        <v>940</v>
      </c>
      <c r="I88" s="218"/>
    </row>
    <row r="89" spans="1:9" ht="15.75" x14ac:dyDescent="0.25">
      <c r="A89" s="340" t="s">
        <v>991</v>
      </c>
      <c r="B89" s="337">
        <v>902</v>
      </c>
      <c r="C89" s="341" t="s">
        <v>134</v>
      </c>
      <c r="D89" s="341" t="s">
        <v>136</v>
      </c>
      <c r="E89" s="341" t="s">
        <v>905</v>
      </c>
      <c r="F89" s="341"/>
      <c r="G89" s="339">
        <f>G90+G93</f>
        <v>940</v>
      </c>
      <c r="H89" s="339">
        <f>H90+H93</f>
        <v>940</v>
      </c>
      <c r="I89" s="218"/>
    </row>
    <row r="90" spans="1:9" ht="31.5" x14ac:dyDescent="0.25">
      <c r="A90" s="342" t="s">
        <v>967</v>
      </c>
      <c r="B90" s="336">
        <v>902</v>
      </c>
      <c r="C90" s="338" t="s">
        <v>134</v>
      </c>
      <c r="D90" s="338" t="s">
        <v>136</v>
      </c>
      <c r="E90" s="338" t="s">
        <v>906</v>
      </c>
      <c r="F90" s="338"/>
      <c r="G90" s="343">
        <f>G91</f>
        <v>899</v>
      </c>
      <c r="H90" s="343">
        <f>H91</f>
        <v>899</v>
      </c>
      <c r="I90" s="218"/>
    </row>
    <row r="91" spans="1:9" ht="78.75" x14ac:dyDescent="0.25">
      <c r="A91" s="342" t="s">
        <v>143</v>
      </c>
      <c r="B91" s="336">
        <v>902</v>
      </c>
      <c r="C91" s="338" t="s">
        <v>134</v>
      </c>
      <c r="D91" s="338" t="s">
        <v>136</v>
      </c>
      <c r="E91" s="338" t="s">
        <v>906</v>
      </c>
      <c r="F91" s="338" t="s">
        <v>144</v>
      </c>
      <c r="G91" s="343">
        <f>G92</f>
        <v>899</v>
      </c>
      <c r="H91" s="343">
        <f>H92</f>
        <v>899</v>
      </c>
      <c r="I91" s="218"/>
    </row>
    <row r="92" spans="1:9" ht="31.5" x14ac:dyDescent="0.25">
      <c r="A92" s="342" t="s">
        <v>145</v>
      </c>
      <c r="B92" s="336">
        <v>902</v>
      </c>
      <c r="C92" s="338" t="s">
        <v>134</v>
      </c>
      <c r="D92" s="338" t="s">
        <v>136</v>
      </c>
      <c r="E92" s="338" t="s">
        <v>906</v>
      </c>
      <c r="F92" s="338" t="s">
        <v>146</v>
      </c>
      <c r="G92" s="343">
        <f>899</f>
        <v>899</v>
      </c>
      <c r="H92" s="343">
        <f t="shared" si="4"/>
        <v>899</v>
      </c>
      <c r="I92" s="218"/>
    </row>
    <row r="93" spans="1:9" ht="47.25" x14ac:dyDescent="0.25">
      <c r="A93" s="342" t="s">
        <v>885</v>
      </c>
      <c r="B93" s="336">
        <v>902</v>
      </c>
      <c r="C93" s="338" t="s">
        <v>134</v>
      </c>
      <c r="D93" s="338" t="s">
        <v>136</v>
      </c>
      <c r="E93" s="338" t="s">
        <v>908</v>
      </c>
      <c r="F93" s="338"/>
      <c r="G93" s="343">
        <f>G94</f>
        <v>41</v>
      </c>
      <c r="H93" s="343">
        <f>H94</f>
        <v>41</v>
      </c>
      <c r="I93" s="218"/>
    </row>
    <row r="94" spans="1:9" ht="78.75" x14ac:dyDescent="0.25">
      <c r="A94" s="342" t="s">
        <v>143</v>
      </c>
      <c r="B94" s="336">
        <v>902</v>
      </c>
      <c r="C94" s="338" t="s">
        <v>134</v>
      </c>
      <c r="D94" s="338" t="s">
        <v>136</v>
      </c>
      <c r="E94" s="338" t="s">
        <v>908</v>
      </c>
      <c r="F94" s="338" t="s">
        <v>144</v>
      </c>
      <c r="G94" s="343">
        <f>G95</f>
        <v>41</v>
      </c>
      <c r="H94" s="343">
        <f>H95</f>
        <v>41</v>
      </c>
      <c r="I94" s="218"/>
    </row>
    <row r="95" spans="1:9" ht="31.5" x14ac:dyDescent="0.25">
      <c r="A95" s="342" t="s">
        <v>145</v>
      </c>
      <c r="B95" s="336">
        <v>902</v>
      </c>
      <c r="C95" s="338" t="s">
        <v>134</v>
      </c>
      <c r="D95" s="338" t="s">
        <v>136</v>
      </c>
      <c r="E95" s="338" t="s">
        <v>908</v>
      </c>
      <c r="F95" s="338" t="s">
        <v>146</v>
      </c>
      <c r="G95" s="343">
        <f>41</f>
        <v>41</v>
      </c>
      <c r="H95" s="343">
        <f t="shared" si="4"/>
        <v>41</v>
      </c>
      <c r="I95" s="218"/>
    </row>
    <row r="96" spans="1:9" s="217" customFormat="1" ht="15.75" hidden="1" x14ac:dyDescent="0.25">
      <c r="A96" s="340" t="s">
        <v>1369</v>
      </c>
      <c r="B96" s="337">
        <v>902</v>
      </c>
      <c r="C96" s="341" t="s">
        <v>134</v>
      </c>
      <c r="D96" s="341" t="s">
        <v>280</v>
      </c>
      <c r="E96" s="341"/>
      <c r="F96" s="338"/>
      <c r="G96" s="339">
        <f t="shared" ref="G96:H98" si="5">G97</f>
        <v>0</v>
      </c>
      <c r="H96" s="339">
        <f t="shared" si="5"/>
        <v>0</v>
      </c>
      <c r="I96" s="218"/>
    </row>
    <row r="97" spans="1:9" s="217" customFormat="1" ht="15.75" hidden="1" x14ac:dyDescent="0.25">
      <c r="A97" s="340" t="s">
        <v>157</v>
      </c>
      <c r="B97" s="337">
        <v>902</v>
      </c>
      <c r="C97" s="341" t="s">
        <v>134</v>
      </c>
      <c r="D97" s="341" t="s">
        <v>280</v>
      </c>
      <c r="E97" s="341" t="s">
        <v>912</v>
      </c>
      <c r="F97" s="338"/>
      <c r="G97" s="339">
        <f t="shared" si="5"/>
        <v>0</v>
      </c>
      <c r="H97" s="339">
        <f t="shared" si="5"/>
        <v>0</v>
      </c>
      <c r="I97" s="218"/>
    </row>
    <row r="98" spans="1:9" s="217" customFormat="1" ht="31.5" hidden="1" x14ac:dyDescent="0.25">
      <c r="A98" s="340" t="s">
        <v>916</v>
      </c>
      <c r="B98" s="337">
        <v>902</v>
      </c>
      <c r="C98" s="341" t="s">
        <v>134</v>
      </c>
      <c r="D98" s="341" t="s">
        <v>280</v>
      </c>
      <c r="E98" s="341" t="s">
        <v>911</v>
      </c>
      <c r="F98" s="338"/>
      <c r="G98" s="339">
        <f t="shared" si="5"/>
        <v>0</v>
      </c>
      <c r="H98" s="339">
        <f t="shared" si="5"/>
        <v>0</v>
      </c>
      <c r="I98" s="218"/>
    </row>
    <row r="99" spans="1:9" s="217" customFormat="1" ht="15.75" hidden="1" x14ac:dyDescent="0.25">
      <c r="A99" s="45" t="s">
        <v>215</v>
      </c>
      <c r="B99" s="336">
        <v>902</v>
      </c>
      <c r="C99" s="338" t="s">
        <v>134</v>
      </c>
      <c r="D99" s="338" t="s">
        <v>280</v>
      </c>
      <c r="E99" s="338" t="s">
        <v>1368</v>
      </c>
      <c r="F99" s="338"/>
      <c r="G99" s="343">
        <f>G100+G102</f>
        <v>0</v>
      </c>
      <c r="H99" s="343">
        <f>H100+H102</f>
        <v>0</v>
      </c>
      <c r="I99" s="218"/>
    </row>
    <row r="100" spans="1:9" s="217" customFormat="1" ht="78.75" hidden="1" x14ac:dyDescent="0.25">
      <c r="A100" s="342" t="s">
        <v>143</v>
      </c>
      <c r="B100" s="336">
        <v>902</v>
      </c>
      <c r="C100" s="338" t="s">
        <v>134</v>
      </c>
      <c r="D100" s="338" t="s">
        <v>280</v>
      </c>
      <c r="E100" s="338" t="s">
        <v>1368</v>
      </c>
      <c r="F100" s="338" t="s">
        <v>144</v>
      </c>
      <c r="G100" s="343">
        <f>G101</f>
        <v>0</v>
      </c>
      <c r="H100" s="343">
        <f>H101</f>
        <v>0</v>
      </c>
      <c r="I100" s="218"/>
    </row>
    <row r="101" spans="1:9" s="217" customFormat="1" ht="31.5" hidden="1" x14ac:dyDescent="0.25">
      <c r="A101" s="342" t="s">
        <v>145</v>
      </c>
      <c r="B101" s="336">
        <v>902</v>
      </c>
      <c r="C101" s="338" t="s">
        <v>134</v>
      </c>
      <c r="D101" s="338" t="s">
        <v>280</v>
      </c>
      <c r="E101" s="338" t="s">
        <v>1368</v>
      </c>
      <c r="F101" s="338" t="s">
        <v>146</v>
      </c>
      <c r="G101" s="343">
        <v>0</v>
      </c>
      <c r="H101" s="343">
        <v>0</v>
      </c>
      <c r="I101" s="218"/>
    </row>
    <row r="102" spans="1:9" s="217" customFormat="1" ht="31.5" hidden="1" x14ac:dyDescent="0.25">
      <c r="A102" s="342" t="s">
        <v>214</v>
      </c>
      <c r="B102" s="336">
        <v>902</v>
      </c>
      <c r="C102" s="338" t="s">
        <v>134</v>
      </c>
      <c r="D102" s="338" t="s">
        <v>280</v>
      </c>
      <c r="E102" s="338" t="s">
        <v>1368</v>
      </c>
      <c r="F102" s="338" t="s">
        <v>148</v>
      </c>
      <c r="G102" s="343">
        <f>G103</f>
        <v>0</v>
      </c>
      <c r="H102" s="343">
        <f>H103</f>
        <v>0</v>
      </c>
      <c r="I102" s="218"/>
    </row>
    <row r="103" spans="1:9" s="217" customFormat="1" ht="31.5" hidden="1" x14ac:dyDescent="0.25">
      <c r="A103" s="342" t="s">
        <v>149</v>
      </c>
      <c r="B103" s="336">
        <v>902</v>
      </c>
      <c r="C103" s="338" t="s">
        <v>134</v>
      </c>
      <c r="D103" s="338" t="s">
        <v>280</v>
      </c>
      <c r="E103" s="338" t="s">
        <v>1368</v>
      </c>
      <c r="F103" s="338" t="s">
        <v>150</v>
      </c>
      <c r="G103" s="343">
        <v>0</v>
      </c>
      <c r="H103" s="343">
        <v>0</v>
      </c>
      <c r="I103" s="218"/>
    </row>
    <row r="104" spans="1:9" ht="15.75" x14ac:dyDescent="0.25">
      <c r="A104" s="340" t="s">
        <v>155</v>
      </c>
      <c r="B104" s="337">
        <v>902</v>
      </c>
      <c r="C104" s="341" t="s">
        <v>134</v>
      </c>
      <c r="D104" s="341" t="s">
        <v>156</v>
      </c>
      <c r="E104" s="341"/>
      <c r="F104" s="341"/>
      <c r="G104" s="339">
        <f>G115+G124+G105+G129</f>
        <v>6860</v>
      </c>
      <c r="H104" s="339">
        <f>H115+H124+H105+H129</f>
        <v>6860</v>
      </c>
      <c r="I104" s="218"/>
    </row>
    <row r="105" spans="1:9" ht="15.75" x14ac:dyDescent="0.25">
      <c r="A105" s="340" t="s">
        <v>157</v>
      </c>
      <c r="B105" s="337">
        <v>902</v>
      </c>
      <c r="C105" s="341" t="s">
        <v>134</v>
      </c>
      <c r="D105" s="341" t="s">
        <v>156</v>
      </c>
      <c r="E105" s="341" t="s">
        <v>912</v>
      </c>
      <c r="F105" s="341"/>
      <c r="G105" s="339">
        <f>G106</f>
        <v>6680</v>
      </c>
      <c r="H105" s="339">
        <f>H106</f>
        <v>6680</v>
      </c>
      <c r="I105" s="218"/>
    </row>
    <row r="106" spans="1:9" ht="31.5" x14ac:dyDescent="0.25">
      <c r="A106" s="340" t="s">
        <v>995</v>
      </c>
      <c r="B106" s="337">
        <v>902</v>
      </c>
      <c r="C106" s="341" t="s">
        <v>134</v>
      </c>
      <c r="D106" s="341" t="s">
        <v>156</v>
      </c>
      <c r="E106" s="341" t="s">
        <v>913</v>
      </c>
      <c r="F106" s="341"/>
      <c r="G106" s="339">
        <f>G107+G112</f>
        <v>6680</v>
      </c>
      <c r="H106" s="339">
        <f>H107+H112</f>
        <v>6680</v>
      </c>
      <c r="I106" s="218"/>
    </row>
    <row r="107" spans="1:9" ht="31.5" x14ac:dyDescent="0.25">
      <c r="A107" s="342" t="s">
        <v>1001</v>
      </c>
      <c r="B107" s="336">
        <v>902</v>
      </c>
      <c r="C107" s="338" t="s">
        <v>134</v>
      </c>
      <c r="D107" s="338" t="s">
        <v>156</v>
      </c>
      <c r="E107" s="338" t="s">
        <v>914</v>
      </c>
      <c r="F107" s="338"/>
      <c r="G107" s="343">
        <f>G108+G110</f>
        <v>6554</v>
      </c>
      <c r="H107" s="343">
        <f>H108+H110</f>
        <v>6554</v>
      </c>
      <c r="I107" s="218"/>
    </row>
    <row r="108" spans="1:9" ht="78.75" x14ac:dyDescent="0.25">
      <c r="A108" s="342" t="s">
        <v>143</v>
      </c>
      <c r="B108" s="336">
        <v>902</v>
      </c>
      <c r="C108" s="338" t="s">
        <v>134</v>
      </c>
      <c r="D108" s="338" t="s">
        <v>156</v>
      </c>
      <c r="E108" s="338" t="s">
        <v>914</v>
      </c>
      <c r="F108" s="338" t="s">
        <v>144</v>
      </c>
      <c r="G108" s="343">
        <f>G109</f>
        <v>5343</v>
      </c>
      <c r="H108" s="343">
        <f>H109</f>
        <v>5343</v>
      </c>
      <c r="I108" s="218"/>
    </row>
    <row r="109" spans="1:9" ht="15.75" x14ac:dyDescent="0.25">
      <c r="A109" s="342" t="s">
        <v>224</v>
      </c>
      <c r="B109" s="336">
        <v>902</v>
      </c>
      <c r="C109" s="338" t="s">
        <v>134</v>
      </c>
      <c r="D109" s="338" t="s">
        <v>156</v>
      </c>
      <c r="E109" s="338" t="s">
        <v>914</v>
      </c>
      <c r="F109" s="338" t="s">
        <v>225</v>
      </c>
      <c r="G109" s="343">
        <f>5343</f>
        <v>5343</v>
      </c>
      <c r="H109" s="343">
        <f t="shared" si="4"/>
        <v>5343</v>
      </c>
      <c r="I109" s="218"/>
    </row>
    <row r="110" spans="1:9" ht="31.5" x14ac:dyDescent="0.25">
      <c r="A110" s="342" t="s">
        <v>214</v>
      </c>
      <c r="B110" s="336">
        <v>902</v>
      </c>
      <c r="C110" s="338" t="s">
        <v>134</v>
      </c>
      <c r="D110" s="338" t="s">
        <v>156</v>
      </c>
      <c r="E110" s="338" t="s">
        <v>914</v>
      </c>
      <c r="F110" s="338" t="s">
        <v>148</v>
      </c>
      <c r="G110" s="343">
        <f>G111</f>
        <v>1211</v>
      </c>
      <c r="H110" s="343">
        <f>H111</f>
        <v>1211</v>
      </c>
      <c r="I110" s="218"/>
    </row>
    <row r="111" spans="1:9" ht="31.5" x14ac:dyDescent="0.25">
      <c r="A111" s="342" t="s">
        <v>149</v>
      </c>
      <c r="B111" s="336">
        <v>902</v>
      </c>
      <c r="C111" s="338" t="s">
        <v>134</v>
      </c>
      <c r="D111" s="338" t="s">
        <v>156</v>
      </c>
      <c r="E111" s="338" t="s">
        <v>914</v>
      </c>
      <c r="F111" s="338" t="s">
        <v>150</v>
      </c>
      <c r="G111" s="343">
        <f>1211</f>
        <v>1211</v>
      </c>
      <c r="H111" s="343">
        <f t="shared" si="4"/>
        <v>1211</v>
      </c>
      <c r="I111" s="218"/>
    </row>
    <row r="112" spans="1:9" ht="47.25" x14ac:dyDescent="0.25">
      <c r="A112" s="342" t="s">
        <v>885</v>
      </c>
      <c r="B112" s="336">
        <v>902</v>
      </c>
      <c r="C112" s="338" t="s">
        <v>134</v>
      </c>
      <c r="D112" s="338" t="s">
        <v>156</v>
      </c>
      <c r="E112" s="338" t="s">
        <v>915</v>
      </c>
      <c r="F112" s="338"/>
      <c r="G112" s="343">
        <f>G113</f>
        <v>126</v>
      </c>
      <c r="H112" s="343">
        <f>H113</f>
        <v>126</v>
      </c>
      <c r="I112" s="218"/>
    </row>
    <row r="113" spans="1:9" ht="78.75" x14ac:dyDescent="0.25">
      <c r="A113" s="342" t="s">
        <v>143</v>
      </c>
      <c r="B113" s="336">
        <v>902</v>
      </c>
      <c r="C113" s="338" t="s">
        <v>134</v>
      </c>
      <c r="D113" s="338" t="s">
        <v>156</v>
      </c>
      <c r="E113" s="338" t="s">
        <v>915</v>
      </c>
      <c r="F113" s="338" t="s">
        <v>144</v>
      </c>
      <c r="G113" s="343">
        <f>G114</f>
        <v>126</v>
      </c>
      <c r="H113" s="343">
        <f>H114</f>
        <v>126</v>
      </c>
      <c r="I113" s="218"/>
    </row>
    <row r="114" spans="1:9" ht="15.75" x14ac:dyDescent="0.25">
      <c r="A114" s="342" t="s">
        <v>224</v>
      </c>
      <c r="B114" s="336">
        <v>902</v>
      </c>
      <c r="C114" s="338" t="s">
        <v>134</v>
      </c>
      <c r="D114" s="338" t="s">
        <v>156</v>
      </c>
      <c r="E114" s="338" t="s">
        <v>915</v>
      </c>
      <c r="F114" s="338" t="s">
        <v>225</v>
      </c>
      <c r="G114" s="343">
        <f>126</f>
        <v>126</v>
      </c>
      <c r="H114" s="343">
        <f t="shared" si="4"/>
        <v>126</v>
      </c>
      <c r="I114" s="218"/>
    </row>
    <row r="115" spans="1:9" ht="63" x14ac:dyDescent="0.25">
      <c r="A115" s="41" t="s">
        <v>1421</v>
      </c>
      <c r="B115" s="337">
        <v>902</v>
      </c>
      <c r="C115" s="341" t="s">
        <v>134</v>
      </c>
      <c r="D115" s="341" t="s">
        <v>156</v>
      </c>
      <c r="E115" s="341" t="s">
        <v>728</v>
      </c>
      <c r="F115" s="235"/>
      <c r="G115" s="339">
        <f>G116+G120</f>
        <v>40</v>
      </c>
      <c r="H115" s="339">
        <f>H116+H120</f>
        <v>40</v>
      </c>
      <c r="I115" s="218"/>
    </row>
    <row r="116" spans="1:9" ht="47.25" x14ac:dyDescent="0.25">
      <c r="A116" s="223" t="s">
        <v>892</v>
      </c>
      <c r="B116" s="337">
        <v>902</v>
      </c>
      <c r="C116" s="341" t="s">
        <v>134</v>
      </c>
      <c r="D116" s="341" t="s">
        <v>156</v>
      </c>
      <c r="E116" s="341" t="s">
        <v>898</v>
      </c>
      <c r="F116" s="235"/>
      <c r="G116" s="339">
        <f t="shared" ref="G116:H118" si="6">G117</f>
        <v>25</v>
      </c>
      <c r="H116" s="339">
        <f t="shared" si="6"/>
        <v>25</v>
      </c>
      <c r="I116" s="218"/>
    </row>
    <row r="117" spans="1:9" ht="31.5" x14ac:dyDescent="0.25">
      <c r="A117" s="99" t="s">
        <v>799</v>
      </c>
      <c r="B117" s="336">
        <v>902</v>
      </c>
      <c r="C117" s="338" t="s">
        <v>134</v>
      </c>
      <c r="D117" s="338" t="s">
        <v>156</v>
      </c>
      <c r="E117" s="338" t="s">
        <v>893</v>
      </c>
      <c r="F117" s="32"/>
      <c r="G117" s="343">
        <f t="shared" si="6"/>
        <v>25</v>
      </c>
      <c r="H117" s="343">
        <f t="shared" si="6"/>
        <v>25</v>
      </c>
      <c r="I117" s="218"/>
    </row>
    <row r="118" spans="1:9" ht="31.5" x14ac:dyDescent="0.25">
      <c r="A118" s="342" t="s">
        <v>147</v>
      </c>
      <c r="B118" s="336">
        <v>902</v>
      </c>
      <c r="C118" s="338" t="s">
        <v>134</v>
      </c>
      <c r="D118" s="338" t="s">
        <v>156</v>
      </c>
      <c r="E118" s="338" t="s">
        <v>893</v>
      </c>
      <c r="F118" s="32" t="s">
        <v>148</v>
      </c>
      <c r="G118" s="343">
        <f t="shared" si="6"/>
        <v>25</v>
      </c>
      <c r="H118" s="343">
        <f t="shared" si="6"/>
        <v>25</v>
      </c>
      <c r="I118" s="218"/>
    </row>
    <row r="119" spans="1:9" ht="31.5" x14ac:dyDescent="0.25">
      <c r="A119" s="342" t="s">
        <v>149</v>
      </c>
      <c r="B119" s="336">
        <v>902</v>
      </c>
      <c r="C119" s="338" t="s">
        <v>134</v>
      </c>
      <c r="D119" s="338" t="s">
        <v>156</v>
      </c>
      <c r="E119" s="338" t="s">
        <v>893</v>
      </c>
      <c r="F119" s="32" t="s">
        <v>150</v>
      </c>
      <c r="G119" s="343">
        <v>25</v>
      </c>
      <c r="H119" s="343">
        <v>25</v>
      </c>
      <c r="I119" s="218"/>
    </row>
    <row r="120" spans="1:9" ht="31.5" x14ac:dyDescent="0.25">
      <c r="A120" s="224" t="s">
        <v>1188</v>
      </c>
      <c r="B120" s="337">
        <v>902</v>
      </c>
      <c r="C120" s="341" t="s">
        <v>134</v>
      </c>
      <c r="D120" s="341" t="s">
        <v>156</v>
      </c>
      <c r="E120" s="341" t="s">
        <v>899</v>
      </c>
      <c r="F120" s="235"/>
      <c r="G120" s="339">
        <f t="shared" ref="G120:H122" si="7">G121</f>
        <v>15</v>
      </c>
      <c r="H120" s="339">
        <f t="shared" si="7"/>
        <v>15</v>
      </c>
      <c r="I120" s="218"/>
    </row>
    <row r="121" spans="1:9" ht="31.5" x14ac:dyDescent="0.25">
      <c r="A121" s="99" t="s">
        <v>800</v>
      </c>
      <c r="B121" s="336">
        <v>902</v>
      </c>
      <c r="C121" s="338" t="s">
        <v>134</v>
      </c>
      <c r="D121" s="338" t="s">
        <v>156</v>
      </c>
      <c r="E121" s="338" t="s">
        <v>894</v>
      </c>
      <c r="F121" s="32"/>
      <c r="G121" s="343">
        <f t="shared" si="7"/>
        <v>15</v>
      </c>
      <c r="H121" s="343">
        <f t="shared" si="7"/>
        <v>15</v>
      </c>
      <c r="I121" s="218"/>
    </row>
    <row r="122" spans="1:9" ht="31.5" x14ac:dyDescent="0.25">
      <c r="A122" s="342" t="s">
        <v>147</v>
      </c>
      <c r="B122" s="336">
        <v>902</v>
      </c>
      <c r="C122" s="338" t="s">
        <v>134</v>
      </c>
      <c r="D122" s="338" t="s">
        <v>156</v>
      </c>
      <c r="E122" s="338" t="s">
        <v>894</v>
      </c>
      <c r="F122" s="32" t="s">
        <v>148</v>
      </c>
      <c r="G122" s="343">
        <f t="shared" si="7"/>
        <v>15</v>
      </c>
      <c r="H122" s="343">
        <f t="shared" si="7"/>
        <v>15</v>
      </c>
      <c r="I122" s="218"/>
    </row>
    <row r="123" spans="1:9" ht="31.5" x14ac:dyDescent="0.25">
      <c r="A123" s="342" t="s">
        <v>149</v>
      </c>
      <c r="B123" s="336">
        <v>902</v>
      </c>
      <c r="C123" s="338" t="s">
        <v>134</v>
      </c>
      <c r="D123" s="338" t="s">
        <v>156</v>
      </c>
      <c r="E123" s="338" t="s">
        <v>894</v>
      </c>
      <c r="F123" s="32" t="s">
        <v>150</v>
      </c>
      <c r="G123" s="343">
        <f>15</f>
        <v>15</v>
      </c>
      <c r="H123" s="343">
        <f t="shared" si="4"/>
        <v>15</v>
      </c>
      <c r="I123" s="218"/>
    </row>
    <row r="124" spans="1:9" ht="78.75" x14ac:dyDescent="0.25">
      <c r="A124" s="41" t="s">
        <v>1420</v>
      </c>
      <c r="B124" s="337">
        <v>902</v>
      </c>
      <c r="C124" s="8" t="s">
        <v>134</v>
      </c>
      <c r="D124" s="8" t="s">
        <v>156</v>
      </c>
      <c r="E124" s="357" t="s">
        <v>861</v>
      </c>
      <c r="F124" s="8"/>
      <c r="G124" s="339">
        <f t="shared" ref="G124:H127" si="8">G125</f>
        <v>40</v>
      </c>
      <c r="H124" s="339">
        <f t="shared" si="8"/>
        <v>40</v>
      </c>
      <c r="I124" s="218"/>
    </row>
    <row r="125" spans="1:9" ht="47.25" x14ac:dyDescent="0.25">
      <c r="A125" s="225" t="s">
        <v>900</v>
      </c>
      <c r="B125" s="337">
        <v>902</v>
      </c>
      <c r="C125" s="8" t="s">
        <v>134</v>
      </c>
      <c r="D125" s="8" t="s">
        <v>156</v>
      </c>
      <c r="E125" s="207" t="s">
        <v>1262</v>
      </c>
      <c r="F125" s="8"/>
      <c r="G125" s="339">
        <f t="shared" si="8"/>
        <v>40</v>
      </c>
      <c r="H125" s="339">
        <f t="shared" si="8"/>
        <v>40</v>
      </c>
      <c r="I125" s="218"/>
    </row>
    <row r="126" spans="1:9" ht="31.5" x14ac:dyDescent="0.25">
      <c r="A126" s="98" t="s">
        <v>187</v>
      </c>
      <c r="B126" s="336">
        <v>902</v>
      </c>
      <c r="C126" s="9" t="s">
        <v>134</v>
      </c>
      <c r="D126" s="9" t="s">
        <v>156</v>
      </c>
      <c r="E126" s="333" t="s">
        <v>901</v>
      </c>
      <c r="F126" s="9"/>
      <c r="G126" s="343">
        <f t="shared" si="8"/>
        <v>40</v>
      </c>
      <c r="H126" s="343">
        <f t="shared" si="8"/>
        <v>40</v>
      </c>
      <c r="I126" s="218"/>
    </row>
    <row r="127" spans="1:9" ht="31.5" x14ac:dyDescent="0.25">
      <c r="A127" s="342" t="s">
        <v>147</v>
      </c>
      <c r="B127" s="336">
        <v>902</v>
      </c>
      <c r="C127" s="9" t="s">
        <v>134</v>
      </c>
      <c r="D127" s="9" t="s">
        <v>156</v>
      </c>
      <c r="E127" s="333" t="s">
        <v>901</v>
      </c>
      <c r="F127" s="9" t="s">
        <v>148</v>
      </c>
      <c r="G127" s="343">
        <f t="shared" si="8"/>
        <v>40</v>
      </c>
      <c r="H127" s="343">
        <f t="shared" si="8"/>
        <v>40</v>
      </c>
      <c r="I127" s="218"/>
    </row>
    <row r="128" spans="1:9" ht="31.5" x14ac:dyDescent="0.25">
      <c r="A128" s="342" t="s">
        <v>149</v>
      </c>
      <c r="B128" s="336">
        <v>902</v>
      </c>
      <c r="C128" s="9" t="s">
        <v>134</v>
      </c>
      <c r="D128" s="9" t="s">
        <v>156</v>
      </c>
      <c r="E128" s="333" t="s">
        <v>901</v>
      </c>
      <c r="F128" s="9" t="s">
        <v>150</v>
      </c>
      <c r="G128" s="343">
        <v>40</v>
      </c>
      <c r="H128" s="343">
        <v>40</v>
      </c>
      <c r="I128" s="218"/>
    </row>
    <row r="129" spans="1:9" ht="63" x14ac:dyDescent="0.25">
      <c r="A129" s="41" t="s">
        <v>1419</v>
      </c>
      <c r="B129" s="337">
        <v>902</v>
      </c>
      <c r="C129" s="8" t="s">
        <v>134</v>
      </c>
      <c r="D129" s="8" t="s">
        <v>156</v>
      </c>
      <c r="E129" s="207" t="s">
        <v>862</v>
      </c>
      <c r="F129" s="8"/>
      <c r="G129" s="339">
        <f>G131</f>
        <v>100</v>
      </c>
      <c r="H129" s="339">
        <f>H131</f>
        <v>100</v>
      </c>
      <c r="I129" s="218"/>
    </row>
    <row r="130" spans="1:9" ht="31.5" x14ac:dyDescent="0.25">
      <c r="A130" s="58" t="s">
        <v>902</v>
      </c>
      <c r="B130" s="337">
        <v>902</v>
      </c>
      <c r="C130" s="8" t="s">
        <v>134</v>
      </c>
      <c r="D130" s="8" t="s">
        <v>156</v>
      </c>
      <c r="E130" s="207" t="s">
        <v>910</v>
      </c>
      <c r="F130" s="8"/>
      <c r="G130" s="339">
        <f t="shared" ref="G130:H132" si="9">G131</f>
        <v>100</v>
      </c>
      <c r="H130" s="339">
        <f t="shared" si="9"/>
        <v>100</v>
      </c>
      <c r="I130" s="218"/>
    </row>
    <row r="131" spans="1:9" ht="15.75" x14ac:dyDescent="0.25">
      <c r="A131" s="45" t="s">
        <v>867</v>
      </c>
      <c r="B131" s="336">
        <v>902</v>
      </c>
      <c r="C131" s="9" t="s">
        <v>134</v>
      </c>
      <c r="D131" s="9" t="s">
        <v>156</v>
      </c>
      <c r="E131" s="333" t="s">
        <v>903</v>
      </c>
      <c r="F131" s="9"/>
      <c r="G131" s="343">
        <f t="shared" si="9"/>
        <v>100</v>
      </c>
      <c r="H131" s="343">
        <f t="shared" si="9"/>
        <v>100</v>
      </c>
      <c r="I131" s="218"/>
    </row>
    <row r="132" spans="1:9" ht="31.5" x14ac:dyDescent="0.25">
      <c r="A132" s="342" t="s">
        <v>147</v>
      </c>
      <c r="B132" s="336">
        <v>902</v>
      </c>
      <c r="C132" s="9" t="s">
        <v>134</v>
      </c>
      <c r="D132" s="9" t="s">
        <v>156</v>
      </c>
      <c r="E132" s="333" t="s">
        <v>903</v>
      </c>
      <c r="F132" s="9" t="s">
        <v>148</v>
      </c>
      <c r="G132" s="343">
        <f t="shared" si="9"/>
        <v>100</v>
      </c>
      <c r="H132" s="343">
        <f t="shared" si="9"/>
        <v>100</v>
      </c>
      <c r="I132" s="218"/>
    </row>
    <row r="133" spans="1:9" ht="31.5" x14ac:dyDescent="0.25">
      <c r="A133" s="342" t="s">
        <v>149</v>
      </c>
      <c r="B133" s="336">
        <v>902</v>
      </c>
      <c r="C133" s="9" t="s">
        <v>134</v>
      </c>
      <c r="D133" s="9" t="s">
        <v>156</v>
      </c>
      <c r="E133" s="333" t="s">
        <v>903</v>
      </c>
      <c r="F133" s="9" t="s">
        <v>150</v>
      </c>
      <c r="G133" s="343">
        <v>100</v>
      </c>
      <c r="H133" s="343">
        <v>100</v>
      </c>
      <c r="I133" s="218"/>
    </row>
    <row r="134" spans="1:9" ht="15.75" hidden="1" x14ac:dyDescent="0.25">
      <c r="A134" s="340" t="s">
        <v>228</v>
      </c>
      <c r="B134" s="337">
        <v>902</v>
      </c>
      <c r="C134" s="341" t="s">
        <v>229</v>
      </c>
      <c r="D134" s="341"/>
      <c r="E134" s="341"/>
      <c r="F134" s="341"/>
      <c r="G134" s="339">
        <f t="shared" ref="G134:H137" si="10">G135</f>
        <v>0</v>
      </c>
      <c r="H134" s="339">
        <f t="shared" si="10"/>
        <v>0</v>
      </c>
      <c r="I134" s="218"/>
    </row>
    <row r="135" spans="1:9" ht="15.75" hidden="1" x14ac:dyDescent="0.25">
      <c r="A135" s="340" t="s">
        <v>234</v>
      </c>
      <c r="B135" s="337">
        <v>902</v>
      </c>
      <c r="C135" s="341" t="s">
        <v>229</v>
      </c>
      <c r="D135" s="341" t="s">
        <v>235</v>
      </c>
      <c r="E135" s="341"/>
      <c r="F135" s="341"/>
      <c r="G135" s="339">
        <f t="shared" si="10"/>
        <v>0</v>
      </c>
      <c r="H135" s="339">
        <f t="shared" si="10"/>
        <v>0</v>
      </c>
      <c r="I135" s="218"/>
    </row>
    <row r="136" spans="1:9" ht="15.75" hidden="1" x14ac:dyDescent="0.25">
      <c r="A136" s="340" t="s">
        <v>157</v>
      </c>
      <c r="B136" s="337">
        <v>902</v>
      </c>
      <c r="C136" s="341" t="s">
        <v>229</v>
      </c>
      <c r="D136" s="341" t="s">
        <v>235</v>
      </c>
      <c r="E136" s="341" t="s">
        <v>912</v>
      </c>
      <c r="F136" s="341"/>
      <c r="G136" s="339">
        <f t="shared" si="10"/>
        <v>0</v>
      </c>
      <c r="H136" s="339">
        <f t="shared" si="10"/>
        <v>0</v>
      </c>
      <c r="I136" s="218"/>
    </row>
    <row r="137" spans="1:9" ht="31.5" hidden="1" x14ac:dyDescent="0.25">
      <c r="A137" s="340" t="s">
        <v>916</v>
      </c>
      <c r="B137" s="337">
        <v>902</v>
      </c>
      <c r="C137" s="341" t="s">
        <v>229</v>
      </c>
      <c r="D137" s="341" t="s">
        <v>235</v>
      </c>
      <c r="E137" s="341" t="s">
        <v>911</v>
      </c>
      <c r="F137" s="341"/>
      <c r="G137" s="339">
        <f t="shared" si="10"/>
        <v>0</v>
      </c>
      <c r="H137" s="339">
        <f t="shared" si="10"/>
        <v>0</v>
      </c>
      <c r="I137" s="218"/>
    </row>
    <row r="138" spans="1:9" ht="15.75" hidden="1" x14ac:dyDescent="0.25">
      <c r="A138" s="342" t="s">
        <v>236</v>
      </c>
      <c r="B138" s="336">
        <v>902</v>
      </c>
      <c r="C138" s="338" t="s">
        <v>229</v>
      </c>
      <c r="D138" s="338" t="s">
        <v>235</v>
      </c>
      <c r="E138" s="338" t="s">
        <v>917</v>
      </c>
      <c r="F138" s="338"/>
      <c r="G138" s="343">
        <f>'Пр.4 ведом.20'!G138</f>
        <v>0</v>
      </c>
      <c r="H138" s="343">
        <f t="shared" si="4"/>
        <v>0</v>
      </c>
      <c r="I138" s="218"/>
    </row>
    <row r="139" spans="1:9" ht="31.5" hidden="1" x14ac:dyDescent="0.25">
      <c r="A139" s="342" t="s">
        <v>214</v>
      </c>
      <c r="B139" s="336">
        <v>902</v>
      </c>
      <c r="C139" s="338" t="s">
        <v>229</v>
      </c>
      <c r="D139" s="338" t="s">
        <v>235</v>
      </c>
      <c r="E139" s="338" t="s">
        <v>917</v>
      </c>
      <c r="F139" s="338" t="s">
        <v>148</v>
      </c>
      <c r="G139" s="343">
        <f>'Пр.4 ведом.20'!G139</f>
        <v>0</v>
      </c>
      <c r="H139" s="343">
        <f t="shared" si="4"/>
        <v>0</v>
      </c>
      <c r="I139" s="218"/>
    </row>
    <row r="140" spans="1:9" ht="31.5" hidden="1" x14ac:dyDescent="0.25">
      <c r="A140" s="342" t="s">
        <v>149</v>
      </c>
      <c r="B140" s="336">
        <v>902</v>
      </c>
      <c r="C140" s="338" t="s">
        <v>229</v>
      </c>
      <c r="D140" s="338" t="s">
        <v>235</v>
      </c>
      <c r="E140" s="338" t="s">
        <v>917</v>
      </c>
      <c r="F140" s="338" t="s">
        <v>150</v>
      </c>
      <c r="G140" s="343">
        <f>'Пр.4 ведом.20'!G140</f>
        <v>0</v>
      </c>
      <c r="H140" s="343">
        <f t="shared" si="4"/>
        <v>0</v>
      </c>
      <c r="I140" s="218"/>
    </row>
    <row r="141" spans="1:9" ht="31.5" x14ac:dyDescent="0.25">
      <c r="A141" s="340" t="s">
        <v>238</v>
      </c>
      <c r="B141" s="337">
        <v>902</v>
      </c>
      <c r="C141" s="341" t="s">
        <v>231</v>
      </c>
      <c r="D141" s="341"/>
      <c r="E141" s="341"/>
      <c r="F141" s="341"/>
      <c r="G141" s="339">
        <f>G142</f>
        <v>7922</v>
      </c>
      <c r="H141" s="339">
        <f>H142</f>
        <v>7922</v>
      </c>
      <c r="I141" s="218"/>
    </row>
    <row r="142" spans="1:9" ht="47.25" x14ac:dyDescent="0.25">
      <c r="A142" s="340" t="s">
        <v>239</v>
      </c>
      <c r="B142" s="337">
        <v>902</v>
      </c>
      <c r="C142" s="341" t="s">
        <v>231</v>
      </c>
      <c r="D142" s="341" t="s">
        <v>235</v>
      </c>
      <c r="E142" s="338"/>
      <c r="F142" s="338"/>
      <c r="G142" s="339">
        <f>G143</f>
        <v>7922</v>
      </c>
      <c r="H142" s="339">
        <f>H143</f>
        <v>7922</v>
      </c>
      <c r="I142" s="218"/>
    </row>
    <row r="143" spans="1:9" ht="15.75" x14ac:dyDescent="0.25">
      <c r="A143" s="340" t="s">
        <v>157</v>
      </c>
      <c r="B143" s="337">
        <v>902</v>
      </c>
      <c r="C143" s="341" t="s">
        <v>231</v>
      </c>
      <c r="D143" s="341" t="s">
        <v>235</v>
      </c>
      <c r="E143" s="341" t="s">
        <v>912</v>
      </c>
      <c r="F143" s="341"/>
      <c r="G143" s="339">
        <f>G144+G151</f>
        <v>7922</v>
      </c>
      <c r="H143" s="339">
        <f>H144+H151</f>
        <v>7922</v>
      </c>
      <c r="I143" s="218"/>
    </row>
    <row r="144" spans="1:9" ht="31.5" x14ac:dyDescent="0.25">
      <c r="A144" s="340" t="s">
        <v>916</v>
      </c>
      <c r="B144" s="337">
        <v>902</v>
      </c>
      <c r="C144" s="341" t="s">
        <v>231</v>
      </c>
      <c r="D144" s="341" t="s">
        <v>235</v>
      </c>
      <c r="E144" s="341" t="s">
        <v>911</v>
      </c>
      <c r="F144" s="341"/>
      <c r="G144" s="339">
        <f>G145+G148</f>
        <v>1982</v>
      </c>
      <c r="H144" s="339">
        <f>H145+H148</f>
        <v>1982</v>
      </c>
      <c r="I144" s="218"/>
    </row>
    <row r="145" spans="1:13" ht="47.25" x14ac:dyDescent="0.25">
      <c r="A145" s="342" t="s">
        <v>240</v>
      </c>
      <c r="B145" s="336">
        <v>902</v>
      </c>
      <c r="C145" s="338" t="s">
        <v>231</v>
      </c>
      <c r="D145" s="338" t="s">
        <v>235</v>
      </c>
      <c r="E145" s="338" t="s">
        <v>921</v>
      </c>
      <c r="F145" s="338"/>
      <c r="G145" s="343">
        <f>G146</f>
        <v>1785</v>
      </c>
      <c r="H145" s="343">
        <f>H146</f>
        <v>1785</v>
      </c>
      <c r="I145" s="218"/>
    </row>
    <row r="146" spans="1:13" ht="31.5" x14ac:dyDescent="0.25">
      <c r="A146" s="342" t="s">
        <v>214</v>
      </c>
      <c r="B146" s="336">
        <v>902</v>
      </c>
      <c r="C146" s="338" t="s">
        <v>231</v>
      </c>
      <c r="D146" s="338" t="s">
        <v>235</v>
      </c>
      <c r="E146" s="338" t="s">
        <v>921</v>
      </c>
      <c r="F146" s="338" t="s">
        <v>148</v>
      </c>
      <c r="G146" s="343">
        <f>G147</f>
        <v>1785</v>
      </c>
      <c r="H146" s="343">
        <f>H147</f>
        <v>1785</v>
      </c>
      <c r="I146" s="218"/>
    </row>
    <row r="147" spans="1:13" ht="31.5" x14ac:dyDescent="0.25">
      <c r="A147" s="342" t="s">
        <v>149</v>
      </c>
      <c r="B147" s="336">
        <v>902</v>
      </c>
      <c r="C147" s="338" t="s">
        <v>231</v>
      </c>
      <c r="D147" s="338" t="s">
        <v>235</v>
      </c>
      <c r="E147" s="338" t="s">
        <v>921</v>
      </c>
      <c r="F147" s="338" t="s">
        <v>150</v>
      </c>
      <c r="G147" s="343">
        <f>1785</f>
        <v>1785</v>
      </c>
      <c r="H147" s="343">
        <f t="shared" si="4"/>
        <v>1785</v>
      </c>
      <c r="I147" s="218"/>
    </row>
    <row r="148" spans="1:13" ht="15.75" x14ac:dyDescent="0.25">
      <c r="A148" s="342" t="s">
        <v>246</v>
      </c>
      <c r="B148" s="336">
        <v>902</v>
      </c>
      <c r="C148" s="338" t="s">
        <v>231</v>
      </c>
      <c r="D148" s="338" t="s">
        <v>235</v>
      </c>
      <c r="E148" s="338" t="s">
        <v>922</v>
      </c>
      <c r="F148" s="338"/>
      <c r="G148" s="343">
        <f>G149</f>
        <v>197</v>
      </c>
      <c r="H148" s="343">
        <f>H149</f>
        <v>197</v>
      </c>
      <c r="I148" s="218"/>
    </row>
    <row r="149" spans="1:13" ht="31.5" x14ac:dyDescent="0.25">
      <c r="A149" s="342" t="s">
        <v>214</v>
      </c>
      <c r="B149" s="336">
        <v>902</v>
      </c>
      <c r="C149" s="338" t="s">
        <v>231</v>
      </c>
      <c r="D149" s="338" t="s">
        <v>235</v>
      </c>
      <c r="E149" s="338" t="s">
        <v>922</v>
      </c>
      <c r="F149" s="338" t="s">
        <v>148</v>
      </c>
      <c r="G149" s="343">
        <f>G150</f>
        <v>197</v>
      </c>
      <c r="H149" s="343">
        <f>H150</f>
        <v>197</v>
      </c>
      <c r="I149" s="218"/>
    </row>
    <row r="150" spans="1:13" ht="31.5" x14ac:dyDescent="0.25">
      <c r="A150" s="342" t="s">
        <v>149</v>
      </c>
      <c r="B150" s="336">
        <v>902</v>
      </c>
      <c r="C150" s="338" t="s">
        <v>231</v>
      </c>
      <c r="D150" s="338" t="s">
        <v>235</v>
      </c>
      <c r="E150" s="338" t="s">
        <v>922</v>
      </c>
      <c r="F150" s="338" t="s">
        <v>150</v>
      </c>
      <c r="G150" s="343">
        <f>197</f>
        <v>197</v>
      </c>
      <c r="H150" s="343">
        <f t="shared" ref="H150:H213" si="11">G150</f>
        <v>197</v>
      </c>
      <c r="I150" s="218"/>
    </row>
    <row r="151" spans="1:13" ht="31.5" x14ac:dyDescent="0.25">
      <c r="A151" s="340" t="s">
        <v>996</v>
      </c>
      <c r="B151" s="337">
        <v>902</v>
      </c>
      <c r="C151" s="341" t="s">
        <v>231</v>
      </c>
      <c r="D151" s="341" t="s">
        <v>235</v>
      </c>
      <c r="E151" s="341" t="s">
        <v>918</v>
      </c>
      <c r="F151" s="341"/>
      <c r="G151" s="339">
        <f>G152+G157</f>
        <v>5940</v>
      </c>
      <c r="H151" s="339">
        <f>H152+H157</f>
        <v>5940</v>
      </c>
      <c r="I151" s="218"/>
    </row>
    <row r="152" spans="1:13" ht="31.5" x14ac:dyDescent="0.25">
      <c r="A152" s="342" t="s">
        <v>1000</v>
      </c>
      <c r="B152" s="336">
        <v>902</v>
      </c>
      <c r="C152" s="338" t="s">
        <v>231</v>
      </c>
      <c r="D152" s="338" t="s">
        <v>235</v>
      </c>
      <c r="E152" s="338" t="s">
        <v>919</v>
      </c>
      <c r="F152" s="338"/>
      <c r="G152" s="343">
        <f>G153+G155</f>
        <v>5688</v>
      </c>
      <c r="H152" s="343">
        <f>H153+H155</f>
        <v>5688</v>
      </c>
      <c r="I152" s="218"/>
    </row>
    <row r="153" spans="1:13" ht="78.75" x14ac:dyDescent="0.25">
      <c r="A153" s="342" t="s">
        <v>143</v>
      </c>
      <c r="B153" s="336">
        <v>902</v>
      </c>
      <c r="C153" s="338" t="s">
        <v>231</v>
      </c>
      <c r="D153" s="338" t="s">
        <v>235</v>
      </c>
      <c r="E153" s="338" t="s">
        <v>919</v>
      </c>
      <c r="F153" s="338" t="s">
        <v>144</v>
      </c>
      <c r="G153" s="343">
        <f>G154</f>
        <v>5525</v>
      </c>
      <c r="H153" s="343">
        <f t="shared" si="11"/>
        <v>5525</v>
      </c>
      <c r="I153" s="218"/>
    </row>
    <row r="154" spans="1:13" ht="15.75" x14ac:dyDescent="0.25">
      <c r="A154" s="342" t="s">
        <v>224</v>
      </c>
      <c r="B154" s="336">
        <v>902</v>
      </c>
      <c r="C154" s="338" t="s">
        <v>231</v>
      </c>
      <c r="D154" s="338" t="s">
        <v>235</v>
      </c>
      <c r="E154" s="338" t="s">
        <v>919</v>
      </c>
      <c r="F154" s="338" t="s">
        <v>225</v>
      </c>
      <c r="G154" s="343">
        <f>5525</f>
        <v>5525</v>
      </c>
      <c r="H154" s="343">
        <f t="shared" si="11"/>
        <v>5525</v>
      </c>
      <c r="I154" s="218"/>
    </row>
    <row r="155" spans="1:13" ht="31.5" x14ac:dyDescent="0.25">
      <c r="A155" s="342" t="s">
        <v>214</v>
      </c>
      <c r="B155" s="336">
        <v>902</v>
      </c>
      <c r="C155" s="338" t="s">
        <v>231</v>
      </c>
      <c r="D155" s="338" t="s">
        <v>235</v>
      </c>
      <c r="E155" s="338" t="s">
        <v>919</v>
      </c>
      <c r="F155" s="338" t="s">
        <v>148</v>
      </c>
      <c r="G155" s="343">
        <f>G156</f>
        <v>163</v>
      </c>
      <c r="H155" s="343">
        <f>H156</f>
        <v>163</v>
      </c>
      <c r="I155" s="218"/>
    </row>
    <row r="156" spans="1:13" ht="31.5" x14ac:dyDescent="0.25">
      <c r="A156" s="342" t="s">
        <v>149</v>
      </c>
      <c r="B156" s="336">
        <v>902</v>
      </c>
      <c r="C156" s="338" t="s">
        <v>231</v>
      </c>
      <c r="D156" s="338" t="s">
        <v>235</v>
      </c>
      <c r="E156" s="338" t="s">
        <v>919</v>
      </c>
      <c r="F156" s="338" t="s">
        <v>150</v>
      </c>
      <c r="G156" s="343">
        <f>163</f>
        <v>163</v>
      </c>
      <c r="H156" s="343">
        <f t="shared" si="11"/>
        <v>163</v>
      </c>
      <c r="I156" s="218"/>
    </row>
    <row r="157" spans="1:13" ht="47.25" x14ac:dyDescent="0.25">
      <c r="A157" s="342" t="s">
        <v>885</v>
      </c>
      <c r="B157" s="336">
        <v>902</v>
      </c>
      <c r="C157" s="338" t="s">
        <v>231</v>
      </c>
      <c r="D157" s="338" t="s">
        <v>235</v>
      </c>
      <c r="E157" s="338" t="s">
        <v>920</v>
      </c>
      <c r="F157" s="338"/>
      <c r="G157" s="343">
        <f>G158</f>
        <v>252</v>
      </c>
      <c r="H157" s="343">
        <f>H158</f>
        <v>252</v>
      </c>
      <c r="I157" s="218"/>
    </row>
    <row r="158" spans="1:13" ht="78.75" x14ac:dyDescent="0.25">
      <c r="A158" s="342" t="s">
        <v>143</v>
      </c>
      <c r="B158" s="336">
        <v>902</v>
      </c>
      <c r="C158" s="338" t="s">
        <v>231</v>
      </c>
      <c r="D158" s="338" t="s">
        <v>235</v>
      </c>
      <c r="E158" s="338" t="s">
        <v>920</v>
      </c>
      <c r="F158" s="338" t="s">
        <v>144</v>
      </c>
      <c r="G158" s="343">
        <f>G159</f>
        <v>252</v>
      </c>
      <c r="H158" s="343">
        <f>H159</f>
        <v>252</v>
      </c>
      <c r="I158" s="218"/>
    </row>
    <row r="159" spans="1:13" ht="19.5" customHeight="1" x14ac:dyDescent="0.25">
      <c r="A159" s="342" t="s">
        <v>224</v>
      </c>
      <c r="B159" s="336">
        <v>902</v>
      </c>
      <c r="C159" s="338" t="s">
        <v>231</v>
      </c>
      <c r="D159" s="338" t="s">
        <v>235</v>
      </c>
      <c r="E159" s="338" t="s">
        <v>920</v>
      </c>
      <c r="F159" s="338" t="s">
        <v>225</v>
      </c>
      <c r="G159" s="343">
        <f>252</f>
        <v>252</v>
      </c>
      <c r="H159" s="343">
        <f t="shared" si="11"/>
        <v>252</v>
      </c>
      <c r="I159" s="218"/>
    </row>
    <row r="160" spans="1:13" ht="15.75" x14ac:dyDescent="0.25">
      <c r="A160" s="340" t="s">
        <v>248</v>
      </c>
      <c r="B160" s="337">
        <v>902</v>
      </c>
      <c r="C160" s="341" t="s">
        <v>166</v>
      </c>
      <c r="D160" s="341"/>
      <c r="E160" s="341"/>
      <c r="F160" s="338"/>
      <c r="G160" s="339">
        <f>G174+G161</f>
        <v>594.79999999999995</v>
      </c>
      <c r="H160" s="339">
        <f>H174+H161</f>
        <v>594.79999999999995</v>
      </c>
      <c r="I160" s="218"/>
      <c r="M160" s="22"/>
    </row>
    <row r="161" spans="1:9" ht="15.75" x14ac:dyDescent="0.25">
      <c r="A161" s="340" t="s">
        <v>249</v>
      </c>
      <c r="B161" s="337">
        <v>902</v>
      </c>
      <c r="C161" s="341" t="s">
        <v>166</v>
      </c>
      <c r="D161" s="341" t="s">
        <v>250</v>
      </c>
      <c r="E161" s="341"/>
      <c r="F161" s="338"/>
      <c r="G161" s="339">
        <f>G162</f>
        <v>306</v>
      </c>
      <c r="H161" s="339">
        <f>H162</f>
        <v>306</v>
      </c>
      <c r="I161" s="218"/>
    </row>
    <row r="162" spans="1:9" ht="47.25" x14ac:dyDescent="0.25">
      <c r="A162" s="34" t="s">
        <v>197</v>
      </c>
      <c r="B162" s="337">
        <v>902</v>
      </c>
      <c r="C162" s="341" t="s">
        <v>166</v>
      </c>
      <c r="D162" s="341" t="s">
        <v>250</v>
      </c>
      <c r="E162" s="207" t="s">
        <v>198</v>
      </c>
      <c r="F162" s="235"/>
      <c r="G162" s="339">
        <f>G163+G170</f>
        <v>306</v>
      </c>
      <c r="H162" s="339">
        <f>H163+H170</f>
        <v>306</v>
      </c>
      <c r="I162" s="218"/>
    </row>
    <row r="163" spans="1:9" ht="31.5" x14ac:dyDescent="0.25">
      <c r="A163" s="34" t="s">
        <v>1159</v>
      </c>
      <c r="B163" s="337">
        <v>902</v>
      </c>
      <c r="C163" s="341" t="s">
        <v>166</v>
      </c>
      <c r="D163" s="341" t="s">
        <v>250</v>
      </c>
      <c r="E163" s="269" t="s">
        <v>923</v>
      </c>
      <c r="F163" s="235"/>
      <c r="G163" s="339">
        <f>G164+G167</f>
        <v>256</v>
      </c>
      <c r="H163" s="339">
        <f>H164+H167</f>
        <v>256</v>
      </c>
      <c r="I163" s="218"/>
    </row>
    <row r="164" spans="1:9" ht="15.75" x14ac:dyDescent="0.25">
      <c r="A164" s="342" t="s">
        <v>924</v>
      </c>
      <c r="B164" s="336">
        <v>902</v>
      </c>
      <c r="C164" s="338" t="s">
        <v>166</v>
      </c>
      <c r="D164" s="338" t="s">
        <v>250</v>
      </c>
      <c r="E164" s="338" t="s">
        <v>968</v>
      </c>
      <c r="F164" s="32"/>
      <c r="G164" s="343">
        <f>G165</f>
        <v>1</v>
      </c>
      <c r="H164" s="343">
        <f>H165</f>
        <v>1</v>
      </c>
      <c r="I164" s="218"/>
    </row>
    <row r="165" spans="1:9" ht="15.75" x14ac:dyDescent="0.25">
      <c r="A165" s="345" t="s">
        <v>151</v>
      </c>
      <c r="B165" s="336">
        <v>902</v>
      </c>
      <c r="C165" s="338" t="s">
        <v>166</v>
      </c>
      <c r="D165" s="338" t="s">
        <v>250</v>
      </c>
      <c r="E165" s="338" t="s">
        <v>968</v>
      </c>
      <c r="F165" s="32" t="s">
        <v>161</v>
      </c>
      <c r="G165" s="343">
        <f>G166</f>
        <v>1</v>
      </c>
      <c r="H165" s="343">
        <f>H166</f>
        <v>1</v>
      </c>
      <c r="I165" s="218"/>
    </row>
    <row r="166" spans="1:9" ht="47.25" x14ac:dyDescent="0.25">
      <c r="A166" s="345" t="s">
        <v>200</v>
      </c>
      <c r="B166" s="336">
        <v>902</v>
      </c>
      <c r="C166" s="338" t="s">
        <v>166</v>
      </c>
      <c r="D166" s="338" t="s">
        <v>250</v>
      </c>
      <c r="E166" s="338" t="s">
        <v>968</v>
      </c>
      <c r="F166" s="32" t="s">
        <v>176</v>
      </c>
      <c r="G166" s="343">
        <f>1</f>
        <v>1</v>
      </c>
      <c r="H166" s="343">
        <f t="shared" si="11"/>
        <v>1</v>
      </c>
      <c r="I166" s="218"/>
    </row>
    <row r="167" spans="1:9" ht="31.5" x14ac:dyDescent="0.25">
      <c r="A167" s="342" t="s">
        <v>251</v>
      </c>
      <c r="B167" s="336">
        <v>902</v>
      </c>
      <c r="C167" s="338" t="s">
        <v>166</v>
      </c>
      <c r="D167" s="338" t="s">
        <v>250</v>
      </c>
      <c r="E167" s="338" t="s">
        <v>927</v>
      </c>
      <c r="F167" s="338"/>
      <c r="G167" s="343">
        <f>G168</f>
        <v>255</v>
      </c>
      <c r="H167" s="343">
        <f>H168</f>
        <v>255</v>
      </c>
      <c r="I167" s="218"/>
    </row>
    <row r="168" spans="1:9" ht="15.75" x14ac:dyDescent="0.25">
      <c r="A168" s="342" t="s">
        <v>151</v>
      </c>
      <c r="B168" s="336">
        <v>902</v>
      </c>
      <c r="C168" s="338" t="s">
        <v>166</v>
      </c>
      <c r="D168" s="338" t="s">
        <v>250</v>
      </c>
      <c r="E168" s="338" t="s">
        <v>927</v>
      </c>
      <c r="F168" s="338" t="s">
        <v>161</v>
      </c>
      <c r="G168" s="343">
        <f>G169</f>
        <v>255</v>
      </c>
      <c r="H168" s="343">
        <f>H169</f>
        <v>255</v>
      </c>
      <c r="I168" s="218"/>
    </row>
    <row r="169" spans="1:9" ht="47.25" x14ac:dyDescent="0.25">
      <c r="A169" s="342" t="s">
        <v>200</v>
      </c>
      <c r="B169" s="336">
        <v>902</v>
      </c>
      <c r="C169" s="338" t="s">
        <v>166</v>
      </c>
      <c r="D169" s="338" t="s">
        <v>250</v>
      </c>
      <c r="E169" s="338" t="s">
        <v>927</v>
      </c>
      <c r="F169" s="338" t="s">
        <v>176</v>
      </c>
      <c r="G169" s="343">
        <f>255</f>
        <v>255</v>
      </c>
      <c r="H169" s="343">
        <f t="shared" si="11"/>
        <v>255</v>
      </c>
      <c r="I169" s="218"/>
    </row>
    <row r="170" spans="1:9" ht="47.25" x14ac:dyDescent="0.25">
      <c r="A170" s="226" t="s">
        <v>1160</v>
      </c>
      <c r="B170" s="337">
        <v>902</v>
      </c>
      <c r="C170" s="341" t="s">
        <v>166</v>
      </c>
      <c r="D170" s="341" t="s">
        <v>250</v>
      </c>
      <c r="E170" s="207" t="s">
        <v>926</v>
      </c>
      <c r="F170" s="235"/>
      <c r="G170" s="339">
        <f t="shared" ref="G170:H172" si="12">G171</f>
        <v>50</v>
      </c>
      <c r="H170" s="339">
        <f t="shared" si="12"/>
        <v>50</v>
      </c>
      <c r="I170" s="218"/>
    </row>
    <row r="171" spans="1:9" ht="15.75" x14ac:dyDescent="0.25">
      <c r="A171" s="342" t="s">
        <v>925</v>
      </c>
      <c r="B171" s="336">
        <v>902</v>
      </c>
      <c r="C171" s="338" t="s">
        <v>166</v>
      </c>
      <c r="D171" s="338" t="s">
        <v>250</v>
      </c>
      <c r="E171" s="333" t="s">
        <v>969</v>
      </c>
      <c r="F171" s="32"/>
      <c r="G171" s="343">
        <f t="shared" si="12"/>
        <v>50</v>
      </c>
      <c r="H171" s="343">
        <f t="shared" si="12"/>
        <v>50</v>
      </c>
      <c r="I171" s="218"/>
    </row>
    <row r="172" spans="1:9" ht="15.75" x14ac:dyDescent="0.25">
      <c r="A172" s="345" t="s">
        <v>151</v>
      </c>
      <c r="B172" s="336">
        <v>902</v>
      </c>
      <c r="C172" s="338" t="s">
        <v>166</v>
      </c>
      <c r="D172" s="338" t="s">
        <v>250</v>
      </c>
      <c r="E172" s="333" t="s">
        <v>969</v>
      </c>
      <c r="F172" s="32" t="s">
        <v>161</v>
      </c>
      <c r="G172" s="343">
        <f t="shared" si="12"/>
        <v>50</v>
      </c>
      <c r="H172" s="343">
        <f t="shared" si="12"/>
        <v>50</v>
      </c>
      <c r="I172" s="218"/>
    </row>
    <row r="173" spans="1:9" ht="47.25" x14ac:dyDescent="0.25">
      <c r="A173" s="345" t="s">
        <v>200</v>
      </c>
      <c r="B173" s="336">
        <v>902</v>
      </c>
      <c r="C173" s="338" t="s">
        <v>166</v>
      </c>
      <c r="D173" s="338" t="s">
        <v>250</v>
      </c>
      <c r="E173" s="333" t="s">
        <v>969</v>
      </c>
      <c r="F173" s="32" t="s">
        <v>176</v>
      </c>
      <c r="G173" s="343">
        <f>50</f>
        <v>50</v>
      </c>
      <c r="H173" s="343">
        <f t="shared" si="11"/>
        <v>50</v>
      </c>
      <c r="I173" s="218"/>
    </row>
    <row r="174" spans="1:9" ht="31.5" x14ac:dyDescent="0.25">
      <c r="A174" s="340" t="s">
        <v>253</v>
      </c>
      <c r="B174" s="337">
        <v>902</v>
      </c>
      <c r="C174" s="341" t="s">
        <v>166</v>
      </c>
      <c r="D174" s="341" t="s">
        <v>254</v>
      </c>
      <c r="E174" s="341"/>
      <c r="F174" s="341"/>
      <c r="G174" s="339">
        <f>G175+G182</f>
        <v>288.8</v>
      </c>
      <c r="H174" s="339">
        <f>H175+H182</f>
        <v>288.8</v>
      </c>
      <c r="I174" s="218"/>
    </row>
    <row r="175" spans="1:9" ht="31.5" x14ac:dyDescent="0.25">
      <c r="A175" s="340" t="s">
        <v>990</v>
      </c>
      <c r="B175" s="337">
        <v>902</v>
      </c>
      <c r="C175" s="341" t="s">
        <v>166</v>
      </c>
      <c r="D175" s="341" t="s">
        <v>254</v>
      </c>
      <c r="E175" s="341" t="s">
        <v>904</v>
      </c>
      <c r="F175" s="341"/>
      <c r="G175" s="339">
        <f>G176</f>
        <v>288.8</v>
      </c>
      <c r="H175" s="339">
        <f>H176</f>
        <v>288.8</v>
      </c>
      <c r="I175" s="218"/>
    </row>
    <row r="176" spans="1:9" ht="31.5" x14ac:dyDescent="0.25">
      <c r="A176" s="340" t="s">
        <v>932</v>
      </c>
      <c r="B176" s="337">
        <v>902</v>
      </c>
      <c r="C176" s="341" t="s">
        <v>166</v>
      </c>
      <c r="D176" s="341" t="s">
        <v>254</v>
      </c>
      <c r="E176" s="341" t="s">
        <v>909</v>
      </c>
      <c r="F176" s="341"/>
      <c r="G176" s="339">
        <f>G177+G187</f>
        <v>288.8</v>
      </c>
      <c r="H176" s="339">
        <f>H177+H187</f>
        <v>288.8</v>
      </c>
      <c r="I176" s="218"/>
    </row>
    <row r="177" spans="1:9" ht="63" x14ac:dyDescent="0.25">
      <c r="A177" s="31" t="s">
        <v>257</v>
      </c>
      <c r="B177" s="336">
        <v>902</v>
      </c>
      <c r="C177" s="338" t="s">
        <v>166</v>
      </c>
      <c r="D177" s="338" t="s">
        <v>254</v>
      </c>
      <c r="E177" s="338" t="s">
        <v>997</v>
      </c>
      <c r="F177" s="338"/>
      <c r="G177" s="343">
        <f>G178+G180</f>
        <v>288.8</v>
      </c>
      <c r="H177" s="343">
        <f>H178+H180</f>
        <v>288.8</v>
      </c>
      <c r="I177" s="218"/>
    </row>
    <row r="178" spans="1:9" ht="78.75" x14ac:dyDescent="0.25">
      <c r="A178" s="342" t="s">
        <v>143</v>
      </c>
      <c r="B178" s="336">
        <v>902</v>
      </c>
      <c r="C178" s="338" t="s">
        <v>166</v>
      </c>
      <c r="D178" s="338" t="s">
        <v>254</v>
      </c>
      <c r="E178" s="338" t="s">
        <v>997</v>
      </c>
      <c r="F178" s="338" t="s">
        <v>144</v>
      </c>
      <c r="G178" s="343">
        <f>G179</f>
        <v>187</v>
      </c>
      <c r="H178" s="343">
        <f>H179</f>
        <v>187</v>
      </c>
      <c r="I178" s="218"/>
    </row>
    <row r="179" spans="1:9" ht="31.5" x14ac:dyDescent="0.25">
      <c r="A179" s="342" t="s">
        <v>145</v>
      </c>
      <c r="B179" s="336">
        <v>902</v>
      </c>
      <c r="C179" s="338" t="s">
        <v>166</v>
      </c>
      <c r="D179" s="338" t="s">
        <v>254</v>
      </c>
      <c r="E179" s="338" t="s">
        <v>997</v>
      </c>
      <c r="F179" s="338" t="s">
        <v>146</v>
      </c>
      <c r="G179" s="343">
        <v>187</v>
      </c>
      <c r="H179" s="343">
        <f t="shared" si="11"/>
        <v>187</v>
      </c>
      <c r="I179" s="218"/>
    </row>
    <row r="180" spans="1:9" ht="31.5" x14ac:dyDescent="0.25">
      <c r="A180" s="342" t="s">
        <v>147</v>
      </c>
      <c r="B180" s="336">
        <v>902</v>
      </c>
      <c r="C180" s="338" t="s">
        <v>166</v>
      </c>
      <c r="D180" s="338" t="s">
        <v>254</v>
      </c>
      <c r="E180" s="338" t="s">
        <v>997</v>
      </c>
      <c r="F180" s="338" t="s">
        <v>148</v>
      </c>
      <c r="G180" s="343">
        <f>G181</f>
        <v>101.8</v>
      </c>
      <c r="H180" s="343">
        <f>H181</f>
        <v>101.8</v>
      </c>
      <c r="I180" s="218"/>
    </row>
    <row r="181" spans="1:9" ht="31.5" x14ac:dyDescent="0.25">
      <c r="A181" s="342" t="s">
        <v>149</v>
      </c>
      <c r="B181" s="336">
        <v>902</v>
      </c>
      <c r="C181" s="338" t="s">
        <v>166</v>
      </c>
      <c r="D181" s="338" t="s">
        <v>254</v>
      </c>
      <c r="E181" s="338" t="s">
        <v>997</v>
      </c>
      <c r="F181" s="338" t="s">
        <v>150</v>
      </c>
      <c r="G181" s="343">
        <v>101.8</v>
      </c>
      <c r="H181" s="343">
        <f t="shared" si="11"/>
        <v>101.8</v>
      </c>
      <c r="I181" s="218"/>
    </row>
    <row r="182" spans="1:9" ht="47.25" hidden="1" x14ac:dyDescent="0.25">
      <c r="A182" s="340" t="s">
        <v>1239</v>
      </c>
      <c r="B182" s="337">
        <v>902</v>
      </c>
      <c r="C182" s="341" t="s">
        <v>166</v>
      </c>
      <c r="D182" s="341" t="s">
        <v>254</v>
      </c>
      <c r="E182" s="341" t="s">
        <v>172</v>
      </c>
      <c r="F182" s="341"/>
      <c r="G182" s="339">
        <f>G183</f>
        <v>0</v>
      </c>
      <c r="H182" s="339">
        <f>H183</f>
        <v>0</v>
      </c>
      <c r="I182" s="218"/>
    </row>
    <row r="183" spans="1:9" ht="47.25" hidden="1" x14ac:dyDescent="0.25">
      <c r="A183" s="340" t="s">
        <v>1243</v>
      </c>
      <c r="B183" s="337">
        <v>902</v>
      </c>
      <c r="C183" s="341" t="s">
        <v>166</v>
      </c>
      <c r="D183" s="341" t="s">
        <v>254</v>
      </c>
      <c r="E183" s="341" t="s">
        <v>1240</v>
      </c>
      <c r="F183" s="341"/>
      <c r="G183" s="339">
        <f>G184+G187</f>
        <v>0</v>
      </c>
      <c r="H183" s="339">
        <f>H184+H187</f>
        <v>0</v>
      </c>
      <c r="I183" s="218"/>
    </row>
    <row r="184" spans="1:9" ht="31.5" hidden="1" x14ac:dyDescent="0.25">
      <c r="A184" s="342" t="s">
        <v>1244</v>
      </c>
      <c r="B184" s="336">
        <v>902</v>
      </c>
      <c r="C184" s="338" t="s">
        <v>166</v>
      </c>
      <c r="D184" s="338" t="s">
        <v>254</v>
      </c>
      <c r="E184" s="338" t="s">
        <v>1241</v>
      </c>
      <c r="F184" s="338"/>
      <c r="G184" s="343">
        <f>G185</f>
        <v>0</v>
      </c>
      <c r="H184" s="343">
        <f t="shared" si="11"/>
        <v>0</v>
      </c>
      <c r="I184" s="218"/>
    </row>
    <row r="185" spans="1:9" ht="15.75" hidden="1" x14ac:dyDescent="0.25">
      <c r="A185" s="342" t="s">
        <v>151</v>
      </c>
      <c r="B185" s="336">
        <v>902</v>
      </c>
      <c r="C185" s="338" t="s">
        <v>166</v>
      </c>
      <c r="D185" s="338" t="s">
        <v>254</v>
      </c>
      <c r="E185" s="338" t="s">
        <v>1241</v>
      </c>
      <c r="F185" s="338" t="s">
        <v>161</v>
      </c>
      <c r="G185" s="343">
        <f>G186</f>
        <v>0</v>
      </c>
      <c r="H185" s="343">
        <f t="shared" si="11"/>
        <v>0</v>
      </c>
      <c r="I185" s="218"/>
    </row>
    <row r="186" spans="1:9" ht="47.25" hidden="1" x14ac:dyDescent="0.25">
      <c r="A186" s="342" t="s">
        <v>200</v>
      </c>
      <c r="B186" s="336">
        <v>902</v>
      </c>
      <c r="C186" s="338" t="s">
        <v>166</v>
      </c>
      <c r="D186" s="338" t="s">
        <v>254</v>
      </c>
      <c r="E186" s="338" t="s">
        <v>1241</v>
      </c>
      <c r="F186" s="338" t="s">
        <v>176</v>
      </c>
      <c r="G186" s="343">
        <v>0</v>
      </c>
      <c r="H186" s="343">
        <v>0</v>
      </c>
      <c r="I186" s="218"/>
    </row>
    <row r="187" spans="1:9" ht="31.5" hidden="1" x14ac:dyDescent="0.25">
      <c r="A187" s="342" t="s">
        <v>255</v>
      </c>
      <c r="B187" s="336">
        <v>902</v>
      </c>
      <c r="C187" s="338" t="s">
        <v>166</v>
      </c>
      <c r="D187" s="338" t="s">
        <v>254</v>
      </c>
      <c r="E187" s="338" t="s">
        <v>1242</v>
      </c>
      <c r="F187" s="341"/>
      <c r="G187" s="343">
        <f>'Пр.4 ведом.20'!G187</f>
        <v>0</v>
      </c>
      <c r="H187" s="343">
        <f t="shared" si="11"/>
        <v>0</v>
      </c>
      <c r="I187" s="218"/>
    </row>
    <row r="188" spans="1:9" ht="15.75" hidden="1" x14ac:dyDescent="0.25">
      <c r="A188" s="342" t="s">
        <v>151</v>
      </c>
      <c r="B188" s="336">
        <v>902</v>
      </c>
      <c r="C188" s="338" t="s">
        <v>166</v>
      </c>
      <c r="D188" s="338" t="s">
        <v>254</v>
      </c>
      <c r="E188" s="338" t="s">
        <v>1242</v>
      </c>
      <c r="F188" s="338" t="s">
        <v>161</v>
      </c>
      <c r="G188" s="343">
        <f>'Пр.4 ведом.20'!G188</f>
        <v>0</v>
      </c>
      <c r="H188" s="343">
        <f t="shared" si="11"/>
        <v>0</v>
      </c>
      <c r="I188" s="218"/>
    </row>
    <row r="189" spans="1:9" ht="47.25" hidden="1" x14ac:dyDescent="0.25">
      <c r="A189" s="342" t="s">
        <v>200</v>
      </c>
      <c r="B189" s="336">
        <v>902</v>
      </c>
      <c r="C189" s="338" t="s">
        <v>166</v>
      </c>
      <c r="D189" s="338" t="s">
        <v>254</v>
      </c>
      <c r="E189" s="338" t="s">
        <v>1242</v>
      </c>
      <c r="F189" s="338" t="s">
        <v>176</v>
      </c>
      <c r="G189" s="343">
        <f>'Пр.4 ведом.20'!G189</f>
        <v>0</v>
      </c>
      <c r="H189" s="343">
        <f t="shared" si="11"/>
        <v>0</v>
      </c>
      <c r="I189" s="218"/>
    </row>
    <row r="190" spans="1:9" ht="15.75" x14ac:dyDescent="0.25">
      <c r="A190" s="340" t="s">
        <v>259</v>
      </c>
      <c r="B190" s="337">
        <v>902</v>
      </c>
      <c r="C190" s="341" t="s">
        <v>260</v>
      </c>
      <c r="D190" s="341"/>
      <c r="E190" s="341"/>
      <c r="F190" s="341"/>
      <c r="G190" s="339">
        <f>G191+G197+G206</f>
        <v>18087.400000000001</v>
      </c>
      <c r="H190" s="339">
        <f>H191+H197+H206</f>
        <v>13087.4</v>
      </c>
      <c r="I190" s="218"/>
    </row>
    <row r="191" spans="1:9" ht="15.75" x14ac:dyDescent="0.25">
      <c r="A191" s="340" t="s">
        <v>261</v>
      </c>
      <c r="B191" s="337">
        <v>902</v>
      </c>
      <c r="C191" s="341" t="s">
        <v>260</v>
      </c>
      <c r="D191" s="341" t="s">
        <v>134</v>
      </c>
      <c r="E191" s="341"/>
      <c r="F191" s="341"/>
      <c r="G191" s="339">
        <f t="shared" ref="G191:H191" si="13">G192</f>
        <v>9456</v>
      </c>
      <c r="H191" s="339">
        <f t="shared" si="13"/>
        <v>9456</v>
      </c>
      <c r="I191" s="218"/>
    </row>
    <row r="192" spans="1:9" ht="15.75" x14ac:dyDescent="0.25">
      <c r="A192" s="340" t="s">
        <v>157</v>
      </c>
      <c r="B192" s="337">
        <v>902</v>
      </c>
      <c r="C192" s="341" t="s">
        <v>260</v>
      </c>
      <c r="D192" s="341" t="s">
        <v>134</v>
      </c>
      <c r="E192" s="341" t="s">
        <v>912</v>
      </c>
      <c r="F192" s="341"/>
      <c r="G192" s="339">
        <f t="shared" ref="G192:H195" si="14">G193</f>
        <v>9456</v>
      </c>
      <c r="H192" s="339">
        <f t="shared" si="14"/>
        <v>9456</v>
      </c>
      <c r="I192" s="218"/>
    </row>
    <row r="193" spans="1:9" ht="31.5" x14ac:dyDescent="0.25">
      <c r="A193" s="340" t="s">
        <v>916</v>
      </c>
      <c r="B193" s="337">
        <v>902</v>
      </c>
      <c r="C193" s="341" t="s">
        <v>260</v>
      </c>
      <c r="D193" s="341" t="s">
        <v>134</v>
      </c>
      <c r="E193" s="341" t="s">
        <v>911</v>
      </c>
      <c r="F193" s="341"/>
      <c r="G193" s="339">
        <f t="shared" si="14"/>
        <v>9456</v>
      </c>
      <c r="H193" s="339">
        <f t="shared" si="14"/>
        <v>9456</v>
      </c>
      <c r="I193" s="218"/>
    </row>
    <row r="194" spans="1:9" ht="15.75" x14ac:dyDescent="0.25">
      <c r="A194" s="342" t="s">
        <v>262</v>
      </c>
      <c r="B194" s="336">
        <v>902</v>
      </c>
      <c r="C194" s="338" t="s">
        <v>260</v>
      </c>
      <c r="D194" s="338" t="s">
        <v>134</v>
      </c>
      <c r="E194" s="338" t="s">
        <v>928</v>
      </c>
      <c r="F194" s="338"/>
      <c r="G194" s="343">
        <f t="shared" si="14"/>
        <v>9456</v>
      </c>
      <c r="H194" s="343">
        <f t="shared" si="14"/>
        <v>9456</v>
      </c>
      <c r="I194" s="218"/>
    </row>
    <row r="195" spans="1:9" ht="22.7" customHeight="1" x14ac:dyDescent="0.25">
      <c r="A195" s="342" t="s">
        <v>264</v>
      </c>
      <c r="B195" s="336">
        <v>902</v>
      </c>
      <c r="C195" s="338" t="s">
        <v>260</v>
      </c>
      <c r="D195" s="338" t="s">
        <v>134</v>
      </c>
      <c r="E195" s="338" t="s">
        <v>928</v>
      </c>
      <c r="F195" s="338" t="s">
        <v>265</v>
      </c>
      <c r="G195" s="343">
        <f t="shared" si="14"/>
        <v>9456</v>
      </c>
      <c r="H195" s="343">
        <f t="shared" si="14"/>
        <v>9456</v>
      </c>
      <c r="I195" s="218"/>
    </row>
    <row r="196" spans="1:9" ht="31.5" x14ac:dyDescent="0.25">
      <c r="A196" s="342" t="s">
        <v>266</v>
      </c>
      <c r="B196" s="336">
        <v>902</v>
      </c>
      <c r="C196" s="338" t="s">
        <v>260</v>
      </c>
      <c r="D196" s="338" t="s">
        <v>134</v>
      </c>
      <c r="E196" s="338" t="s">
        <v>928</v>
      </c>
      <c r="F196" s="338" t="s">
        <v>267</v>
      </c>
      <c r="G196" s="343">
        <f>9456</f>
        <v>9456</v>
      </c>
      <c r="H196" s="343">
        <f t="shared" si="11"/>
        <v>9456</v>
      </c>
      <c r="I196" s="218"/>
    </row>
    <row r="197" spans="1:9" ht="15.75" x14ac:dyDescent="0.25">
      <c r="A197" s="340" t="s">
        <v>268</v>
      </c>
      <c r="B197" s="337">
        <v>902</v>
      </c>
      <c r="C197" s="341" t="s">
        <v>260</v>
      </c>
      <c r="D197" s="341" t="s">
        <v>231</v>
      </c>
      <c r="E197" s="338"/>
      <c r="F197" s="338"/>
      <c r="G197" s="339">
        <f>G198</f>
        <v>5010</v>
      </c>
      <c r="H197" s="339">
        <f>H198</f>
        <v>10</v>
      </c>
      <c r="I197" s="218"/>
    </row>
    <row r="198" spans="1:9" ht="78.75" x14ac:dyDescent="0.25">
      <c r="A198" s="340" t="s">
        <v>269</v>
      </c>
      <c r="B198" s="337">
        <v>902</v>
      </c>
      <c r="C198" s="341" t="s">
        <v>260</v>
      </c>
      <c r="D198" s="341" t="s">
        <v>231</v>
      </c>
      <c r="E198" s="341" t="s">
        <v>270</v>
      </c>
      <c r="F198" s="341"/>
      <c r="G198" s="339">
        <f>G199</f>
        <v>5010</v>
      </c>
      <c r="H198" s="339">
        <f>H199</f>
        <v>10</v>
      </c>
      <c r="I198" s="218"/>
    </row>
    <row r="199" spans="1:9" ht="47.25" x14ac:dyDescent="0.25">
      <c r="A199" s="340" t="s">
        <v>931</v>
      </c>
      <c r="B199" s="337">
        <v>902</v>
      </c>
      <c r="C199" s="341" t="s">
        <v>260</v>
      </c>
      <c r="D199" s="341" t="s">
        <v>231</v>
      </c>
      <c r="E199" s="341" t="s">
        <v>929</v>
      </c>
      <c r="F199" s="341"/>
      <c r="G199" s="339">
        <f>G200+G203</f>
        <v>5010</v>
      </c>
      <c r="H199" s="339">
        <f>H200+H203</f>
        <v>10</v>
      </c>
      <c r="I199" s="218"/>
    </row>
    <row r="200" spans="1:9" ht="31.5" x14ac:dyDescent="0.25">
      <c r="A200" s="342" t="s">
        <v>930</v>
      </c>
      <c r="B200" s="336">
        <v>902</v>
      </c>
      <c r="C200" s="338" t="s">
        <v>260</v>
      </c>
      <c r="D200" s="338" t="s">
        <v>231</v>
      </c>
      <c r="E200" s="338" t="s">
        <v>1470</v>
      </c>
      <c r="F200" s="338"/>
      <c r="G200" s="343">
        <f>G201</f>
        <v>10</v>
      </c>
      <c r="H200" s="343">
        <f>H201</f>
        <v>10</v>
      </c>
      <c r="I200" s="218"/>
    </row>
    <row r="201" spans="1:9" ht="19.5" customHeight="1" x14ac:dyDescent="0.25">
      <c r="A201" s="342" t="s">
        <v>264</v>
      </c>
      <c r="B201" s="336">
        <v>902</v>
      </c>
      <c r="C201" s="338" t="s">
        <v>260</v>
      </c>
      <c r="D201" s="338" t="s">
        <v>231</v>
      </c>
      <c r="E201" s="338" t="s">
        <v>1470</v>
      </c>
      <c r="F201" s="338" t="s">
        <v>265</v>
      </c>
      <c r="G201" s="343">
        <f>G202</f>
        <v>10</v>
      </c>
      <c r="H201" s="343">
        <f>H202</f>
        <v>10</v>
      </c>
      <c r="I201" s="218"/>
    </row>
    <row r="202" spans="1:9" ht="31.5" x14ac:dyDescent="0.25">
      <c r="A202" s="342" t="s">
        <v>266</v>
      </c>
      <c r="B202" s="336">
        <v>902</v>
      </c>
      <c r="C202" s="338" t="s">
        <v>260</v>
      </c>
      <c r="D202" s="338" t="s">
        <v>231</v>
      </c>
      <c r="E202" s="338" t="s">
        <v>1470</v>
      </c>
      <c r="F202" s="338" t="s">
        <v>267</v>
      </c>
      <c r="G202" s="343">
        <f>10</f>
        <v>10</v>
      </c>
      <c r="H202" s="343">
        <f t="shared" si="11"/>
        <v>10</v>
      </c>
      <c r="I202" s="218"/>
    </row>
    <row r="203" spans="1:9" s="217" customFormat="1" ht="63" x14ac:dyDescent="0.25">
      <c r="A203" s="342" t="s">
        <v>1469</v>
      </c>
      <c r="B203" s="336">
        <v>902</v>
      </c>
      <c r="C203" s="338" t="s">
        <v>260</v>
      </c>
      <c r="D203" s="338" t="s">
        <v>231</v>
      </c>
      <c r="E203" s="338" t="s">
        <v>1417</v>
      </c>
      <c r="F203" s="338"/>
      <c r="G203" s="343">
        <f>G204</f>
        <v>5000</v>
      </c>
      <c r="H203" s="343">
        <f>H204</f>
        <v>0</v>
      </c>
      <c r="I203" s="218"/>
    </row>
    <row r="204" spans="1:9" s="217" customFormat="1" ht="20.25" customHeight="1" x14ac:dyDescent="0.25">
      <c r="A204" s="342" t="s">
        <v>264</v>
      </c>
      <c r="B204" s="336">
        <v>902</v>
      </c>
      <c r="C204" s="338" t="s">
        <v>260</v>
      </c>
      <c r="D204" s="338" t="s">
        <v>231</v>
      </c>
      <c r="E204" s="338" t="s">
        <v>1417</v>
      </c>
      <c r="F204" s="338" t="s">
        <v>265</v>
      </c>
      <c r="G204" s="343">
        <f>G205</f>
        <v>5000</v>
      </c>
      <c r="H204" s="343">
        <f>H205</f>
        <v>0</v>
      </c>
      <c r="I204" s="218"/>
    </row>
    <row r="205" spans="1:9" s="217" customFormat="1" ht="31.5" x14ac:dyDescent="0.25">
      <c r="A205" s="342" t="s">
        <v>266</v>
      </c>
      <c r="B205" s="336">
        <v>902</v>
      </c>
      <c r="C205" s="338" t="s">
        <v>260</v>
      </c>
      <c r="D205" s="338" t="s">
        <v>231</v>
      </c>
      <c r="E205" s="338" t="s">
        <v>1417</v>
      </c>
      <c r="F205" s="338" t="s">
        <v>267</v>
      </c>
      <c r="G205" s="343">
        <v>5000</v>
      </c>
      <c r="H205" s="343">
        <v>0</v>
      </c>
      <c r="I205" s="218"/>
    </row>
    <row r="206" spans="1:9" ht="15.75" x14ac:dyDescent="0.25">
      <c r="A206" s="340" t="s">
        <v>274</v>
      </c>
      <c r="B206" s="337">
        <v>902</v>
      </c>
      <c r="C206" s="341" t="s">
        <v>260</v>
      </c>
      <c r="D206" s="341" t="s">
        <v>136</v>
      </c>
      <c r="E206" s="341"/>
      <c r="F206" s="341"/>
      <c r="G206" s="339">
        <f t="shared" ref="G206:H208" si="15">G207</f>
        <v>3621.4</v>
      </c>
      <c r="H206" s="339">
        <f t="shared" si="15"/>
        <v>3621.4</v>
      </c>
      <c r="I206" s="218"/>
    </row>
    <row r="207" spans="1:9" ht="31.5" x14ac:dyDescent="0.25">
      <c r="A207" s="340" t="s">
        <v>990</v>
      </c>
      <c r="B207" s="337">
        <v>902</v>
      </c>
      <c r="C207" s="341" t="s">
        <v>260</v>
      </c>
      <c r="D207" s="341" t="s">
        <v>136</v>
      </c>
      <c r="E207" s="341" t="s">
        <v>904</v>
      </c>
      <c r="F207" s="341"/>
      <c r="G207" s="339">
        <f t="shared" si="15"/>
        <v>3621.4</v>
      </c>
      <c r="H207" s="339">
        <f t="shared" si="15"/>
        <v>3621.4</v>
      </c>
      <c r="I207" s="218"/>
    </row>
    <row r="208" spans="1:9" ht="31.5" x14ac:dyDescent="0.25">
      <c r="A208" s="340" t="s">
        <v>932</v>
      </c>
      <c r="B208" s="337">
        <v>902</v>
      </c>
      <c r="C208" s="341" t="s">
        <v>260</v>
      </c>
      <c r="D208" s="341" t="s">
        <v>136</v>
      </c>
      <c r="E208" s="341" t="s">
        <v>909</v>
      </c>
      <c r="F208" s="341"/>
      <c r="G208" s="339">
        <f t="shared" si="15"/>
        <v>3621.4</v>
      </c>
      <c r="H208" s="339">
        <f t="shared" si="15"/>
        <v>3621.4</v>
      </c>
      <c r="I208" s="218"/>
    </row>
    <row r="209" spans="1:9" ht="47.25" x14ac:dyDescent="0.25">
      <c r="A209" s="31" t="s">
        <v>275</v>
      </c>
      <c r="B209" s="336">
        <v>902</v>
      </c>
      <c r="C209" s="338" t="s">
        <v>260</v>
      </c>
      <c r="D209" s="338" t="s">
        <v>136</v>
      </c>
      <c r="E209" s="338" t="s">
        <v>998</v>
      </c>
      <c r="F209" s="338"/>
      <c r="G209" s="343">
        <f>G210+G212</f>
        <v>3621.4</v>
      </c>
      <c r="H209" s="343">
        <f>H210+H212</f>
        <v>3621.4</v>
      </c>
      <c r="I209" s="218"/>
    </row>
    <row r="210" spans="1:9" ht="78.75" x14ac:dyDescent="0.25">
      <c r="A210" s="342" t="s">
        <v>143</v>
      </c>
      <c r="B210" s="336">
        <v>902</v>
      </c>
      <c r="C210" s="338" t="s">
        <v>260</v>
      </c>
      <c r="D210" s="338" t="s">
        <v>136</v>
      </c>
      <c r="E210" s="338" t="s">
        <v>998</v>
      </c>
      <c r="F210" s="338" t="s">
        <v>144</v>
      </c>
      <c r="G210" s="343">
        <f>G211</f>
        <v>3353.3</v>
      </c>
      <c r="H210" s="343">
        <f>H211</f>
        <v>3353.3</v>
      </c>
      <c r="I210" s="218"/>
    </row>
    <row r="211" spans="1:9" ht="31.5" x14ac:dyDescent="0.25">
      <c r="A211" s="342" t="s">
        <v>145</v>
      </c>
      <c r="B211" s="336">
        <v>902</v>
      </c>
      <c r="C211" s="338" t="s">
        <v>260</v>
      </c>
      <c r="D211" s="338" t="s">
        <v>136</v>
      </c>
      <c r="E211" s="338" t="s">
        <v>998</v>
      </c>
      <c r="F211" s="338" t="s">
        <v>146</v>
      </c>
      <c r="G211" s="343">
        <f>3353.3</f>
        <v>3353.3</v>
      </c>
      <c r="H211" s="343">
        <f t="shared" si="11"/>
        <v>3353.3</v>
      </c>
      <c r="I211" s="218"/>
    </row>
    <row r="212" spans="1:9" ht="31.5" x14ac:dyDescent="0.25">
      <c r="A212" s="342" t="s">
        <v>147</v>
      </c>
      <c r="B212" s="336">
        <v>902</v>
      </c>
      <c r="C212" s="338" t="s">
        <v>260</v>
      </c>
      <c r="D212" s="338" t="s">
        <v>136</v>
      </c>
      <c r="E212" s="338" t="s">
        <v>998</v>
      </c>
      <c r="F212" s="338" t="s">
        <v>148</v>
      </c>
      <c r="G212" s="343">
        <f>G213</f>
        <v>268.10000000000002</v>
      </c>
      <c r="H212" s="343">
        <f>H213</f>
        <v>268.10000000000002</v>
      </c>
      <c r="I212" s="218"/>
    </row>
    <row r="213" spans="1:9" ht="31.5" x14ac:dyDescent="0.25">
      <c r="A213" s="342" t="s">
        <v>149</v>
      </c>
      <c r="B213" s="336">
        <v>902</v>
      </c>
      <c r="C213" s="338" t="s">
        <v>260</v>
      </c>
      <c r="D213" s="338" t="s">
        <v>136</v>
      </c>
      <c r="E213" s="338" t="s">
        <v>998</v>
      </c>
      <c r="F213" s="338" t="s">
        <v>150</v>
      </c>
      <c r="G213" s="343">
        <f>268.1</f>
        <v>268.10000000000002</v>
      </c>
      <c r="H213" s="343">
        <f t="shared" si="11"/>
        <v>268.10000000000002</v>
      </c>
      <c r="I213" s="218"/>
    </row>
    <row r="214" spans="1:9" ht="47.25" x14ac:dyDescent="0.25">
      <c r="A214" s="337" t="s">
        <v>277</v>
      </c>
      <c r="B214" s="337">
        <v>903</v>
      </c>
      <c r="C214" s="338"/>
      <c r="D214" s="338"/>
      <c r="E214" s="338"/>
      <c r="F214" s="338"/>
      <c r="G214" s="339">
        <f>G277+G341+G444+G215+G248+G473</f>
        <v>95886.212</v>
      </c>
      <c r="H214" s="339">
        <f>H277+H341+H444+H215+H248+H473</f>
        <v>93500.599999999991</v>
      </c>
      <c r="I214" s="218"/>
    </row>
    <row r="215" spans="1:9" ht="15.75" x14ac:dyDescent="0.25">
      <c r="A215" s="340" t="s">
        <v>133</v>
      </c>
      <c r="B215" s="337">
        <v>903</v>
      </c>
      <c r="C215" s="341" t="s">
        <v>134</v>
      </c>
      <c r="D215" s="338"/>
      <c r="E215" s="338"/>
      <c r="F215" s="338"/>
      <c r="G215" s="339">
        <f>G216</f>
        <v>120</v>
      </c>
      <c r="H215" s="339">
        <f>H216</f>
        <v>120</v>
      </c>
      <c r="I215" s="218"/>
    </row>
    <row r="216" spans="1:9" ht="15.75" x14ac:dyDescent="0.25">
      <c r="A216" s="340" t="s">
        <v>155</v>
      </c>
      <c r="B216" s="337">
        <v>903</v>
      </c>
      <c r="C216" s="341" t="s">
        <v>134</v>
      </c>
      <c r="D216" s="341" t="s">
        <v>156</v>
      </c>
      <c r="E216" s="338"/>
      <c r="F216" s="338"/>
      <c r="G216" s="339">
        <f>G217+G226+G243</f>
        <v>120</v>
      </c>
      <c r="H216" s="339">
        <f>H217+H226+H243</f>
        <v>120</v>
      </c>
      <c r="I216" s="218"/>
    </row>
    <row r="217" spans="1:9" ht="47.25" x14ac:dyDescent="0.25">
      <c r="A217" s="340" t="s">
        <v>1423</v>
      </c>
      <c r="B217" s="337">
        <v>903</v>
      </c>
      <c r="C217" s="8" t="s">
        <v>134</v>
      </c>
      <c r="D217" s="8" t="s">
        <v>156</v>
      </c>
      <c r="E217" s="207" t="s">
        <v>360</v>
      </c>
      <c r="F217" s="8"/>
      <c r="G217" s="339">
        <f>G218</f>
        <v>60</v>
      </c>
      <c r="H217" s="339">
        <f>H218</f>
        <v>60</v>
      </c>
      <c r="I217" s="218"/>
    </row>
    <row r="218" spans="1:9" ht="94.5" x14ac:dyDescent="0.25">
      <c r="A218" s="41" t="s">
        <v>396</v>
      </c>
      <c r="B218" s="337">
        <v>903</v>
      </c>
      <c r="C218" s="334" t="s">
        <v>134</v>
      </c>
      <c r="D218" s="334" t="s">
        <v>156</v>
      </c>
      <c r="E218" s="334" t="s">
        <v>397</v>
      </c>
      <c r="F218" s="334"/>
      <c r="G218" s="339">
        <f>G219</f>
        <v>60</v>
      </c>
      <c r="H218" s="339">
        <f>H219</f>
        <v>60</v>
      </c>
      <c r="I218" s="218"/>
    </row>
    <row r="219" spans="1:9" ht="63" x14ac:dyDescent="0.25">
      <c r="A219" s="268" t="s">
        <v>1219</v>
      </c>
      <c r="B219" s="337">
        <v>903</v>
      </c>
      <c r="C219" s="334" t="s">
        <v>134</v>
      </c>
      <c r="D219" s="334" t="s">
        <v>156</v>
      </c>
      <c r="E219" s="334" t="s">
        <v>933</v>
      </c>
      <c r="F219" s="334"/>
      <c r="G219" s="339">
        <f>G220+G223</f>
        <v>60</v>
      </c>
      <c r="H219" s="339">
        <f>H220+H223</f>
        <v>60</v>
      </c>
      <c r="I219" s="218"/>
    </row>
    <row r="220" spans="1:9" ht="31.5" x14ac:dyDescent="0.25">
      <c r="A220" s="99" t="s">
        <v>1220</v>
      </c>
      <c r="B220" s="336">
        <v>903</v>
      </c>
      <c r="C220" s="346" t="s">
        <v>134</v>
      </c>
      <c r="D220" s="346" t="s">
        <v>156</v>
      </c>
      <c r="E220" s="346" t="s">
        <v>934</v>
      </c>
      <c r="F220" s="346"/>
      <c r="G220" s="343">
        <f>G221</f>
        <v>60</v>
      </c>
      <c r="H220" s="343">
        <f>H221</f>
        <v>60</v>
      </c>
      <c r="I220" s="218"/>
    </row>
    <row r="221" spans="1:9" ht="31.5" x14ac:dyDescent="0.25">
      <c r="A221" s="345" t="s">
        <v>147</v>
      </c>
      <c r="B221" s="336">
        <v>903</v>
      </c>
      <c r="C221" s="346" t="s">
        <v>134</v>
      </c>
      <c r="D221" s="346" t="s">
        <v>156</v>
      </c>
      <c r="E221" s="346" t="s">
        <v>934</v>
      </c>
      <c r="F221" s="346" t="s">
        <v>148</v>
      </c>
      <c r="G221" s="343">
        <f>G222</f>
        <v>60</v>
      </c>
      <c r="H221" s="343">
        <f>H222</f>
        <v>60</v>
      </c>
      <c r="I221" s="218"/>
    </row>
    <row r="222" spans="1:9" ht="31.5" x14ac:dyDescent="0.25">
      <c r="A222" s="345" t="s">
        <v>149</v>
      </c>
      <c r="B222" s="336">
        <v>903</v>
      </c>
      <c r="C222" s="346" t="s">
        <v>134</v>
      </c>
      <c r="D222" s="346" t="s">
        <v>156</v>
      </c>
      <c r="E222" s="346" t="s">
        <v>934</v>
      </c>
      <c r="F222" s="346" t="s">
        <v>150</v>
      </c>
      <c r="G222" s="343">
        <f>60</f>
        <v>60</v>
      </c>
      <c r="H222" s="343">
        <f t="shared" ref="H222:H284" si="16">G222</f>
        <v>60</v>
      </c>
      <c r="I222" s="218"/>
    </row>
    <row r="223" spans="1:9" ht="47.25" hidden="1" x14ac:dyDescent="0.25">
      <c r="A223" s="35" t="s">
        <v>936</v>
      </c>
      <c r="B223" s="336">
        <v>903</v>
      </c>
      <c r="C223" s="338" t="s">
        <v>134</v>
      </c>
      <c r="D223" s="338" t="s">
        <v>156</v>
      </c>
      <c r="E223" s="338" t="s">
        <v>935</v>
      </c>
      <c r="F223" s="341"/>
      <c r="G223" s="343">
        <f>'Пр.4 ведом.20'!G220</f>
        <v>0</v>
      </c>
      <c r="H223" s="343">
        <f t="shared" si="16"/>
        <v>0</v>
      </c>
      <c r="I223" s="218"/>
    </row>
    <row r="224" spans="1:9" ht="31.5" hidden="1" x14ac:dyDescent="0.25">
      <c r="A224" s="342" t="s">
        <v>147</v>
      </c>
      <c r="B224" s="336">
        <v>903</v>
      </c>
      <c r="C224" s="338" t="s">
        <v>134</v>
      </c>
      <c r="D224" s="338" t="s">
        <v>156</v>
      </c>
      <c r="E224" s="338" t="s">
        <v>935</v>
      </c>
      <c r="F224" s="338" t="s">
        <v>148</v>
      </c>
      <c r="G224" s="343">
        <f>'Пр.4 ведом.20'!G221</f>
        <v>0</v>
      </c>
      <c r="H224" s="343">
        <f t="shared" si="16"/>
        <v>0</v>
      </c>
      <c r="I224" s="218"/>
    </row>
    <row r="225" spans="1:9" ht="31.5" hidden="1" x14ac:dyDescent="0.25">
      <c r="A225" s="342" t="s">
        <v>149</v>
      </c>
      <c r="B225" s="336">
        <v>903</v>
      </c>
      <c r="C225" s="338" t="s">
        <v>134</v>
      </c>
      <c r="D225" s="338" t="s">
        <v>156</v>
      </c>
      <c r="E225" s="338" t="s">
        <v>935</v>
      </c>
      <c r="F225" s="338" t="s">
        <v>150</v>
      </c>
      <c r="G225" s="343">
        <f>'Пр.4 ведом.20'!G222</f>
        <v>0</v>
      </c>
      <c r="H225" s="343">
        <f t="shared" si="16"/>
        <v>0</v>
      </c>
      <c r="I225" s="218"/>
    </row>
    <row r="226" spans="1:9" ht="47.25" x14ac:dyDescent="0.25">
      <c r="A226" s="340" t="s">
        <v>1424</v>
      </c>
      <c r="B226" s="337">
        <v>903</v>
      </c>
      <c r="C226" s="341" t="s">
        <v>134</v>
      </c>
      <c r="D226" s="341" t="s">
        <v>156</v>
      </c>
      <c r="E226" s="341" t="s">
        <v>351</v>
      </c>
      <c r="F226" s="341"/>
      <c r="G226" s="339">
        <f>G227</f>
        <v>55</v>
      </c>
      <c r="H226" s="339">
        <f>H227</f>
        <v>55</v>
      </c>
      <c r="I226" s="218"/>
    </row>
    <row r="227" spans="1:9" ht="31.5" x14ac:dyDescent="0.25">
      <c r="A227" s="340" t="s">
        <v>1225</v>
      </c>
      <c r="B227" s="337">
        <v>903</v>
      </c>
      <c r="C227" s="341" t="s">
        <v>134</v>
      </c>
      <c r="D227" s="341" t="s">
        <v>156</v>
      </c>
      <c r="E227" s="341" t="s">
        <v>1226</v>
      </c>
      <c r="F227" s="341"/>
      <c r="G227" s="339">
        <f>G228+G231+G234+G237+G240</f>
        <v>55</v>
      </c>
      <c r="H227" s="339">
        <f>H228+H231+H234+H237+H240</f>
        <v>55</v>
      </c>
      <c r="I227" s="218"/>
    </row>
    <row r="228" spans="1:9" ht="31.5" hidden="1" x14ac:dyDescent="0.25">
      <c r="A228" s="98" t="s">
        <v>352</v>
      </c>
      <c r="B228" s="336">
        <v>903</v>
      </c>
      <c r="C228" s="338" t="s">
        <v>134</v>
      </c>
      <c r="D228" s="338" t="s">
        <v>156</v>
      </c>
      <c r="E228" s="338" t="s">
        <v>1227</v>
      </c>
      <c r="F228" s="338"/>
      <c r="G228" s="343">
        <f>'Пр.4 ведом.20'!G225</f>
        <v>0</v>
      </c>
      <c r="H228" s="343">
        <f t="shared" si="16"/>
        <v>0</v>
      </c>
      <c r="I228" s="218"/>
    </row>
    <row r="229" spans="1:9" ht="31.5" hidden="1" x14ac:dyDescent="0.25">
      <c r="A229" s="342" t="s">
        <v>147</v>
      </c>
      <c r="B229" s="336">
        <v>903</v>
      </c>
      <c r="C229" s="338" t="s">
        <v>134</v>
      </c>
      <c r="D229" s="338" t="s">
        <v>156</v>
      </c>
      <c r="E229" s="338" t="s">
        <v>1227</v>
      </c>
      <c r="F229" s="338" t="s">
        <v>148</v>
      </c>
      <c r="G229" s="343">
        <f>'Пр.4 ведом.20'!G226</f>
        <v>0</v>
      </c>
      <c r="H229" s="343">
        <f t="shared" si="16"/>
        <v>0</v>
      </c>
      <c r="I229" s="218"/>
    </row>
    <row r="230" spans="1:9" ht="31.5" hidden="1" x14ac:dyDescent="0.25">
      <c r="A230" s="342" t="s">
        <v>149</v>
      </c>
      <c r="B230" s="336">
        <v>903</v>
      </c>
      <c r="C230" s="338" t="s">
        <v>134</v>
      </c>
      <c r="D230" s="338" t="s">
        <v>156</v>
      </c>
      <c r="E230" s="338" t="s">
        <v>1227</v>
      </c>
      <c r="F230" s="338" t="s">
        <v>150</v>
      </c>
      <c r="G230" s="343">
        <f>'Пр.4 ведом.20'!G227</f>
        <v>0</v>
      </c>
      <c r="H230" s="343">
        <f t="shared" si="16"/>
        <v>0</v>
      </c>
      <c r="I230" s="218"/>
    </row>
    <row r="231" spans="1:9" ht="31.5" x14ac:dyDescent="0.25">
      <c r="A231" s="342" t="s">
        <v>354</v>
      </c>
      <c r="B231" s="336">
        <v>903</v>
      </c>
      <c r="C231" s="338" t="s">
        <v>134</v>
      </c>
      <c r="D231" s="338" t="s">
        <v>156</v>
      </c>
      <c r="E231" s="338" t="s">
        <v>1228</v>
      </c>
      <c r="F231" s="338"/>
      <c r="G231" s="343">
        <f>G232</f>
        <v>25</v>
      </c>
      <c r="H231" s="343">
        <f t="shared" si="16"/>
        <v>25</v>
      </c>
      <c r="I231" s="218"/>
    </row>
    <row r="232" spans="1:9" ht="31.5" x14ac:dyDescent="0.25">
      <c r="A232" s="342" t="s">
        <v>147</v>
      </c>
      <c r="B232" s="336">
        <v>903</v>
      </c>
      <c r="C232" s="338" t="s">
        <v>134</v>
      </c>
      <c r="D232" s="338" t="s">
        <v>156</v>
      </c>
      <c r="E232" s="338" t="s">
        <v>1228</v>
      </c>
      <c r="F232" s="338" t="s">
        <v>148</v>
      </c>
      <c r="G232" s="343">
        <f>'Пр.4 ведом.20'!G229</f>
        <v>25</v>
      </c>
      <c r="H232" s="343">
        <f t="shared" si="16"/>
        <v>25</v>
      </c>
      <c r="I232" s="218"/>
    </row>
    <row r="233" spans="1:9" ht="31.5" x14ac:dyDescent="0.25">
      <c r="A233" s="342" t="s">
        <v>149</v>
      </c>
      <c r="B233" s="336">
        <v>903</v>
      </c>
      <c r="C233" s="338" t="s">
        <v>134</v>
      </c>
      <c r="D233" s="338" t="s">
        <v>156</v>
      </c>
      <c r="E233" s="338" t="s">
        <v>1228</v>
      </c>
      <c r="F233" s="338" t="s">
        <v>150</v>
      </c>
      <c r="G233" s="343">
        <f>25</f>
        <v>25</v>
      </c>
      <c r="H233" s="343">
        <f t="shared" si="16"/>
        <v>25</v>
      </c>
      <c r="I233" s="218"/>
    </row>
    <row r="234" spans="1:9" ht="47.25" x14ac:dyDescent="0.25">
      <c r="A234" s="31" t="s">
        <v>794</v>
      </c>
      <c r="B234" s="336">
        <v>903</v>
      </c>
      <c r="C234" s="338" t="s">
        <v>134</v>
      </c>
      <c r="D234" s="338" t="s">
        <v>156</v>
      </c>
      <c r="E234" s="338" t="s">
        <v>1229</v>
      </c>
      <c r="F234" s="338"/>
      <c r="G234" s="343">
        <f>G235</f>
        <v>10</v>
      </c>
      <c r="H234" s="343">
        <f>H235</f>
        <v>10</v>
      </c>
      <c r="I234" s="218"/>
    </row>
    <row r="235" spans="1:9" ht="31.5" x14ac:dyDescent="0.25">
      <c r="A235" s="342" t="s">
        <v>147</v>
      </c>
      <c r="B235" s="336">
        <v>903</v>
      </c>
      <c r="C235" s="338" t="s">
        <v>134</v>
      </c>
      <c r="D235" s="338" t="s">
        <v>156</v>
      </c>
      <c r="E235" s="338" t="s">
        <v>1229</v>
      </c>
      <c r="F235" s="338" t="s">
        <v>148</v>
      </c>
      <c r="G235" s="343">
        <f>G236</f>
        <v>10</v>
      </c>
      <c r="H235" s="343">
        <f>H236</f>
        <v>10</v>
      </c>
      <c r="I235" s="218"/>
    </row>
    <row r="236" spans="1:9" ht="31.5" x14ac:dyDescent="0.25">
      <c r="A236" s="342" t="s">
        <v>149</v>
      </c>
      <c r="B236" s="336">
        <v>903</v>
      </c>
      <c r="C236" s="338" t="s">
        <v>134</v>
      </c>
      <c r="D236" s="338" t="s">
        <v>156</v>
      </c>
      <c r="E236" s="338" t="s">
        <v>1229</v>
      </c>
      <c r="F236" s="338" t="s">
        <v>150</v>
      </c>
      <c r="G236" s="343">
        <f>10</f>
        <v>10</v>
      </c>
      <c r="H236" s="343">
        <f t="shared" si="16"/>
        <v>10</v>
      </c>
      <c r="I236" s="218"/>
    </row>
    <row r="237" spans="1:9" ht="15.75" hidden="1" x14ac:dyDescent="0.25">
      <c r="A237" s="342" t="s">
        <v>1144</v>
      </c>
      <c r="B237" s="336">
        <v>903</v>
      </c>
      <c r="C237" s="338" t="s">
        <v>134</v>
      </c>
      <c r="D237" s="338" t="s">
        <v>156</v>
      </c>
      <c r="E237" s="338" t="s">
        <v>1230</v>
      </c>
      <c r="F237" s="338"/>
      <c r="G237" s="343">
        <f>'Пр.4 ведом.20'!G234</f>
        <v>0</v>
      </c>
      <c r="H237" s="343">
        <f t="shared" si="16"/>
        <v>0</v>
      </c>
      <c r="I237" s="218"/>
    </row>
    <row r="238" spans="1:9" ht="31.5" hidden="1" x14ac:dyDescent="0.25">
      <c r="A238" s="342" t="s">
        <v>147</v>
      </c>
      <c r="B238" s="336">
        <v>903</v>
      </c>
      <c r="C238" s="338" t="s">
        <v>134</v>
      </c>
      <c r="D238" s="338" t="s">
        <v>156</v>
      </c>
      <c r="E238" s="338" t="s">
        <v>1230</v>
      </c>
      <c r="F238" s="338" t="s">
        <v>148</v>
      </c>
      <c r="G238" s="343">
        <f>'Пр.4 ведом.20'!G235</f>
        <v>0</v>
      </c>
      <c r="H238" s="343">
        <f t="shared" si="16"/>
        <v>0</v>
      </c>
      <c r="I238" s="218"/>
    </row>
    <row r="239" spans="1:9" ht="31.5" hidden="1" x14ac:dyDescent="0.25">
      <c r="A239" s="342" t="s">
        <v>149</v>
      </c>
      <c r="B239" s="336">
        <v>903</v>
      </c>
      <c r="C239" s="338" t="s">
        <v>134</v>
      </c>
      <c r="D239" s="338" t="s">
        <v>156</v>
      </c>
      <c r="E239" s="338" t="s">
        <v>1230</v>
      </c>
      <c r="F239" s="338" t="s">
        <v>150</v>
      </c>
      <c r="G239" s="343">
        <f>'Пр.4 ведом.20'!G236</f>
        <v>0</v>
      </c>
      <c r="H239" s="343">
        <f t="shared" si="16"/>
        <v>0</v>
      </c>
      <c r="I239" s="218"/>
    </row>
    <row r="240" spans="1:9" ht="31.5" x14ac:dyDescent="0.25">
      <c r="A240" s="31" t="s">
        <v>795</v>
      </c>
      <c r="B240" s="336">
        <v>903</v>
      </c>
      <c r="C240" s="338" t="s">
        <v>134</v>
      </c>
      <c r="D240" s="338" t="s">
        <v>156</v>
      </c>
      <c r="E240" s="338" t="s">
        <v>1231</v>
      </c>
      <c r="F240" s="338"/>
      <c r="G240" s="343">
        <f>G241</f>
        <v>20</v>
      </c>
      <c r="H240" s="343">
        <f>H241</f>
        <v>20</v>
      </c>
      <c r="I240" s="218"/>
    </row>
    <row r="241" spans="1:9" ht="31.5" x14ac:dyDescent="0.25">
      <c r="A241" s="342" t="s">
        <v>147</v>
      </c>
      <c r="B241" s="336">
        <v>903</v>
      </c>
      <c r="C241" s="338" t="s">
        <v>134</v>
      </c>
      <c r="D241" s="338" t="s">
        <v>156</v>
      </c>
      <c r="E241" s="338" t="s">
        <v>1231</v>
      </c>
      <c r="F241" s="338" t="s">
        <v>148</v>
      </c>
      <c r="G241" s="343">
        <f>G242</f>
        <v>20</v>
      </c>
      <c r="H241" s="343">
        <f>H242</f>
        <v>20</v>
      </c>
      <c r="I241" s="218"/>
    </row>
    <row r="242" spans="1:9" ht="31.5" x14ac:dyDescent="0.25">
      <c r="A242" s="342" t="s">
        <v>149</v>
      </c>
      <c r="B242" s="336">
        <v>903</v>
      </c>
      <c r="C242" s="338" t="s">
        <v>134</v>
      </c>
      <c r="D242" s="338" t="s">
        <v>156</v>
      </c>
      <c r="E242" s="338" t="s">
        <v>1231</v>
      </c>
      <c r="F242" s="338" t="s">
        <v>150</v>
      </c>
      <c r="G242" s="343">
        <f>20</f>
        <v>20</v>
      </c>
      <c r="H242" s="343">
        <f t="shared" si="16"/>
        <v>20</v>
      </c>
      <c r="I242" s="218"/>
    </row>
    <row r="243" spans="1:9" ht="63" x14ac:dyDescent="0.25">
      <c r="A243" s="41" t="s">
        <v>1425</v>
      </c>
      <c r="B243" s="337">
        <v>903</v>
      </c>
      <c r="C243" s="341" t="s">
        <v>134</v>
      </c>
      <c r="D243" s="341" t="s">
        <v>156</v>
      </c>
      <c r="E243" s="341" t="s">
        <v>728</v>
      </c>
      <c r="F243" s="341"/>
      <c r="G243" s="339">
        <f>G245</f>
        <v>5</v>
      </c>
      <c r="H243" s="339">
        <f>H245</f>
        <v>5</v>
      </c>
      <c r="I243" s="218"/>
    </row>
    <row r="244" spans="1:9" ht="47.25" x14ac:dyDescent="0.25">
      <c r="A244" s="223" t="s">
        <v>892</v>
      </c>
      <c r="B244" s="337">
        <v>903</v>
      </c>
      <c r="C244" s="341" t="s">
        <v>134</v>
      </c>
      <c r="D244" s="341" t="s">
        <v>156</v>
      </c>
      <c r="E244" s="341" t="s">
        <v>898</v>
      </c>
      <c r="F244" s="341"/>
      <c r="G244" s="339">
        <f t="shared" ref="G244:H246" si="17">G245</f>
        <v>5</v>
      </c>
      <c r="H244" s="339">
        <f t="shared" si="17"/>
        <v>5</v>
      </c>
      <c r="I244" s="218"/>
    </row>
    <row r="245" spans="1:9" ht="31.5" x14ac:dyDescent="0.25">
      <c r="A245" s="99" t="s">
        <v>799</v>
      </c>
      <c r="B245" s="336">
        <v>903</v>
      </c>
      <c r="C245" s="338" t="s">
        <v>134</v>
      </c>
      <c r="D245" s="338" t="s">
        <v>156</v>
      </c>
      <c r="E245" s="338" t="s">
        <v>893</v>
      </c>
      <c r="F245" s="338"/>
      <c r="G245" s="343">
        <f t="shared" si="17"/>
        <v>5</v>
      </c>
      <c r="H245" s="343">
        <f t="shared" si="17"/>
        <v>5</v>
      </c>
      <c r="I245" s="218"/>
    </row>
    <row r="246" spans="1:9" ht="31.5" x14ac:dyDescent="0.25">
      <c r="A246" s="342" t="s">
        <v>147</v>
      </c>
      <c r="B246" s="336">
        <v>903</v>
      </c>
      <c r="C246" s="338" t="s">
        <v>134</v>
      </c>
      <c r="D246" s="338" t="s">
        <v>156</v>
      </c>
      <c r="E246" s="338" t="s">
        <v>893</v>
      </c>
      <c r="F246" s="338" t="s">
        <v>148</v>
      </c>
      <c r="G246" s="343">
        <f t="shared" si="17"/>
        <v>5</v>
      </c>
      <c r="H246" s="343">
        <f t="shared" si="17"/>
        <v>5</v>
      </c>
      <c r="I246" s="218"/>
    </row>
    <row r="247" spans="1:9" ht="31.5" x14ac:dyDescent="0.25">
      <c r="A247" s="342" t="s">
        <v>149</v>
      </c>
      <c r="B247" s="336">
        <v>903</v>
      </c>
      <c r="C247" s="338" t="s">
        <v>134</v>
      </c>
      <c r="D247" s="338" t="s">
        <v>156</v>
      </c>
      <c r="E247" s="338" t="s">
        <v>893</v>
      </c>
      <c r="F247" s="338" t="s">
        <v>150</v>
      </c>
      <c r="G247" s="343">
        <f>5</f>
        <v>5</v>
      </c>
      <c r="H247" s="343">
        <f t="shared" si="16"/>
        <v>5</v>
      </c>
      <c r="I247" s="218"/>
    </row>
    <row r="248" spans="1:9" ht="15.75" x14ac:dyDescent="0.25">
      <c r="A248" s="229" t="s">
        <v>248</v>
      </c>
      <c r="B248" s="337">
        <v>903</v>
      </c>
      <c r="C248" s="341" t="s">
        <v>166</v>
      </c>
      <c r="D248" s="338"/>
      <c r="E248" s="338"/>
      <c r="F248" s="32"/>
      <c r="G248" s="339">
        <f t="shared" ref="G248:H250" si="18">G249</f>
        <v>570</v>
      </c>
      <c r="H248" s="339">
        <f t="shared" si="18"/>
        <v>448.7</v>
      </c>
      <c r="I248" s="218"/>
    </row>
    <row r="249" spans="1:9" ht="31.5" x14ac:dyDescent="0.25">
      <c r="A249" s="340" t="s">
        <v>253</v>
      </c>
      <c r="B249" s="337">
        <v>903</v>
      </c>
      <c r="C249" s="341" t="s">
        <v>166</v>
      </c>
      <c r="D249" s="341" t="s">
        <v>254</v>
      </c>
      <c r="E249" s="338"/>
      <c r="F249" s="32"/>
      <c r="G249" s="339">
        <f t="shared" si="18"/>
        <v>570</v>
      </c>
      <c r="H249" s="339">
        <f t="shared" si="18"/>
        <v>448.7</v>
      </c>
      <c r="I249" s="218"/>
    </row>
    <row r="250" spans="1:9" ht="47.25" x14ac:dyDescent="0.25">
      <c r="A250" s="340" t="s">
        <v>1423</v>
      </c>
      <c r="B250" s="337">
        <v>903</v>
      </c>
      <c r="C250" s="341" t="s">
        <v>166</v>
      </c>
      <c r="D250" s="341" t="s">
        <v>254</v>
      </c>
      <c r="E250" s="341" t="s">
        <v>360</v>
      </c>
      <c r="F250" s="235"/>
      <c r="G250" s="339">
        <f t="shared" si="18"/>
        <v>570</v>
      </c>
      <c r="H250" s="339">
        <f t="shared" si="18"/>
        <v>448.7</v>
      </c>
      <c r="I250" s="218"/>
    </row>
    <row r="251" spans="1:9" ht="52.5" customHeight="1" x14ac:dyDescent="0.25">
      <c r="A251" s="340" t="s">
        <v>383</v>
      </c>
      <c r="B251" s="337">
        <v>903</v>
      </c>
      <c r="C251" s="341" t="s">
        <v>166</v>
      </c>
      <c r="D251" s="341" t="s">
        <v>254</v>
      </c>
      <c r="E251" s="341" t="s">
        <v>384</v>
      </c>
      <c r="F251" s="341"/>
      <c r="G251" s="339">
        <f>G252+G259+G266+G273</f>
        <v>570</v>
      </c>
      <c r="H251" s="339">
        <f>H252+H259+H266+H273</f>
        <v>448.7</v>
      </c>
      <c r="I251" s="218"/>
    </row>
    <row r="252" spans="1:9" ht="47.25" hidden="1" x14ac:dyDescent="0.25">
      <c r="A252" s="227" t="s">
        <v>1211</v>
      </c>
      <c r="B252" s="337">
        <v>903</v>
      </c>
      <c r="C252" s="341" t="s">
        <v>166</v>
      </c>
      <c r="D252" s="341" t="s">
        <v>254</v>
      </c>
      <c r="E252" s="341" t="s">
        <v>937</v>
      </c>
      <c r="F252" s="341"/>
      <c r="G252" s="339">
        <f>G253+G256</f>
        <v>0</v>
      </c>
      <c r="H252" s="339">
        <f>H253+H256</f>
        <v>0</v>
      </c>
      <c r="I252" s="218"/>
    </row>
    <row r="253" spans="1:9" ht="47.25" hidden="1" x14ac:dyDescent="0.25">
      <c r="A253" s="342" t="s">
        <v>391</v>
      </c>
      <c r="B253" s="336">
        <v>903</v>
      </c>
      <c r="C253" s="338" t="s">
        <v>166</v>
      </c>
      <c r="D253" s="338" t="s">
        <v>254</v>
      </c>
      <c r="E253" s="338" t="s">
        <v>1212</v>
      </c>
      <c r="F253" s="338"/>
      <c r="G253" s="343">
        <f>'Пр.4 ведом.20'!G250</f>
        <v>0</v>
      </c>
      <c r="H253" s="343">
        <f t="shared" si="16"/>
        <v>0</v>
      </c>
      <c r="I253" s="218"/>
    </row>
    <row r="254" spans="1:9" ht="31.5" hidden="1" x14ac:dyDescent="0.25">
      <c r="A254" s="342" t="s">
        <v>264</v>
      </c>
      <c r="B254" s="336">
        <v>903</v>
      </c>
      <c r="C254" s="338" t="s">
        <v>166</v>
      </c>
      <c r="D254" s="338" t="s">
        <v>254</v>
      </c>
      <c r="E254" s="338" t="s">
        <v>1212</v>
      </c>
      <c r="F254" s="338" t="s">
        <v>265</v>
      </c>
      <c r="G254" s="343">
        <f>'Пр.4 ведом.20'!G251</f>
        <v>0</v>
      </c>
      <c r="H254" s="343">
        <f t="shared" si="16"/>
        <v>0</v>
      </c>
      <c r="I254" s="218"/>
    </row>
    <row r="255" spans="1:9" ht="31.5" hidden="1" x14ac:dyDescent="0.25">
      <c r="A255" s="342" t="s">
        <v>266</v>
      </c>
      <c r="B255" s="336">
        <v>903</v>
      </c>
      <c r="C255" s="338" t="s">
        <v>166</v>
      </c>
      <c r="D255" s="338" t="s">
        <v>254</v>
      </c>
      <c r="E255" s="338" t="s">
        <v>1212</v>
      </c>
      <c r="F255" s="338" t="s">
        <v>267</v>
      </c>
      <c r="G255" s="343">
        <f>'Пр.4 ведом.20'!G252</f>
        <v>0</v>
      </c>
      <c r="H255" s="343">
        <f t="shared" si="16"/>
        <v>0</v>
      </c>
      <c r="I255" s="218"/>
    </row>
    <row r="256" spans="1:9" ht="47.25" hidden="1" x14ac:dyDescent="0.25">
      <c r="A256" s="342" t="s">
        <v>391</v>
      </c>
      <c r="B256" s="336">
        <v>903</v>
      </c>
      <c r="C256" s="338" t="s">
        <v>166</v>
      </c>
      <c r="D256" s="338" t="s">
        <v>254</v>
      </c>
      <c r="E256" s="338" t="s">
        <v>1213</v>
      </c>
      <c r="F256" s="338"/>
      <c r="G256" s="343">
        <f>'Пр.4 ведом.20'!G253</f>
        <v>0</v>
      </c>
      <c r="H256" s="343">
        <f t="shared" si="16"/>
        <v>0</v>
      </c>
      <c r="I256" s="218"/>
    </row>
    <row r="257" spans="1:13" ht="31.5" hidden="1" x14ac:dyDescent="0.25">
      <c r="A257" s="342" t="s">
        <v>264</v>
      </c>
      <c r="B257" s="336">
        <v>903</v>
      </c>
      <c r="C257" s="338" t="s">
        <v>166</v>
      </c>
      <c r="D257" s="338" t="s">
        <v>254</v>
      </c>
      <c r="E257" s="338" t="s">
        <v>1213</v>
      </c>
      <c r="F257" s="338" t="s">
        <v>265</v>
      </c>
      <c r="G257" s="343">
        <f>'Пр.4 ведом.20'!G254</f>
        <v>0</v>
      </c>
      <c r="H257" s="343">
        <f t="shared" si="16"/>
        <v>0</v>
      </c>
      <c r="I257" s="218"/>
    </row>
    <row r="258" spans="1:13" ht="31.5" hidden="1" x14ac:dyDescent="0.25">
      <c r="A258" s="342" t="s">
        <v>266</v>
      </c>
      <c r="B258" s="336">
        <v>903</v>
      </c>
      <c r="C258" s="338" t="s">
        <v>166</v>
      </c>
      <c r="D258" s="338" t="s">
        <v>254</v>
      </c>
      <c r="E258" s="338" t="s">
        <v>1213</v>
      </c>
      <c r="F258" s="338" t="s">
        <v>267</v>
      </c>
      <c r="G258" s="343">
        <f>'Пр.4 ведом.20'!G255</f>
        <v>0</v>
      </c>
      <c r="H258" s="343">
        <f t="shared" si="16"/>
        <v>0</v>
      </c>
      <c r="I258" s="218"/>
    </row>
    <row r="259" spans="1:13" ht="31.5" x14ac:dyDescent="0.25">
      <c r="A259" s="340" t="s">
        <v>1209</v>
      </c>
      <c r="B259" s="337">
        <v>903</v>
      </c>
      <c r="C259" s="341" t="s">
        <v>166</v>
      </c>
      <c r="D259" s="341" t="s">
        <v>254</v>
      </c>
      <c r="E259" s="341" t="s">
        <v>938</v>
      </c>
      <c r="F259" s="341"/>
      <c r="G259" s="339">
        <f>G260+G263</f>
        <v>560</v>
      </c>
      <c r="H259" s="339">
        <f>H260+H263</f>
        <v>438.7</v>
      </c>
      <c r="I259" s="218"/>
    </row>
    <row r="260" spans="1:13" ht="31.5" x14ac:dyDescent="0.25">
      <c r="A260" s="342" t="s">
        <v>1210</v>
      </c>
      <c r="B260" s="336">
        <v>903</v>
      </c>
      <c r="C260" s="338" t="s">
        <v>166</v>
      </c>
      <c r="D260" s="338" t="s">
        <v>254</v>
      </c>
      <c r="E260" s="338" t="s">
        <v>1214</v>
      </c>
      <c r="F260" s="338"/>
      <c r="G260" s="343">
        <f>G261</f>
        <v>60</v>
      </c>
      <c r="H260" s="343">
        <f>H261</f>
        <v>60</v>
      </c>
      <c r="I260" s="218"/>
    </row>
    <row r="261" spans="1:13" ht="31.5" x14ac:dyDescent="0.25">
      <c r="A261" s="342" t="s">
        <v>288</v>
      </c>
      <c r="B261" s="336">
        <v>903</v>
      </c>
      <c r="C261" s="338" t="s">
        <v>166</v>
      </c>
      <c r="D261" s="338" t="s">
        <v>254</v>
      </c>
      <c r="E261" s="338" t="s">
        <v>1214</v>
      </c>
      <c r="F261" s="338" t="s">
        <v>289</v>
      </c>
      <c r="G261" s="343">
        <f>G262</f>
        <v>60</v>
      </c>
      <c r="H261" s="343">
        <f>H262</f>
        <v>60</v>
      </c>
      <c r="I261" s="218"/>
      <c r="M261" s="22"/>
    </row>
    <row r="262" spans="1:13" ht="63" x14ac:dyDescent="0.25">
      <c r="A262" s="342" t="s">
        <v>1291</v>
      </c>
      <c r="B262" s="336">
        <v>903</v>
      </c>
      <c r="C262" s="338" t="s">
        <v>166</v>
      </c>
      <c r="D262" s="338" t="s">
        <v>254</v>
      </c>
      <c r="E262" s="338" t="s">
        <v>1214</v>
      </c>
      <c r="F262" s="338" t="s">
        <v>388</v>
      </c>
      <c r="G262" s="343">
        <f>60</f>
        <v>60</v>
      </c>
      <c r="H262" s="343">
        <f t="shared" si="16"/>
        <v>60</v>
      </c>
      <c r="I262" s="218"/>
    </row>
    <row r="263" spans="1:13" ht="110.25" x14ac:dyDescent="0.25">
      <c r="A263" s="342" t="s">
        <v>389</v>
      </c>
      <c r="B263" s="336">
        <v>903</v>
      </c>
      <c r="C263" s="338" t="s">
        <v>166</v>
      </c>
      <c r="D263" s="338" t="s">
        <v>254</v>
      </c>
      <c r="E263" s="338" t="s">
        <v>1215</v>
      </c>
      <c r="F263" s="338"/>
      <c r="G263" s="343">
        <f>G264</f>
        <v>500</v>
      </c>
      <c r="H263" s="343">
        <f>H264</f>
        <v>378.7</v>
      </c>
      <c r="I263" s="218"/>
    </row>
    <row r="264" spans="1:13" ht="31.5" x14ac:dyDescent="0.25">
      <c r="A264" s="342" t="s">
        <v>288</v>
      </c>
      <c r="B264" s="336">
        <v>903</v>
      </c>
      <c r="C264" s="338" t="s">
        <v>166</v>
      </c>
      <c r="D264" s="338" t="s">
        <v>254</v>
      </c>
      <c r="E264" s="338" t="s">
        <v>1215</v>
      </c>
      <c r="F264" s="338" t="s">
        <v>289</v>
      </c>
      <c r="G264" s="343">
        <f>G265</f>
        <v>500</v>
      </c>
      <c r="H264" s="343">
        <f>H265</f>
        <v>378.7</v>
      </c>
      <c r="I264" s="218"/>
    </row>
    <row r="265" spans="1:13" ht="63" x14ac:dyDescent="0.25">
      <c r="A265" s="342" t="s">
        <v>1291</v>
      </c>
      <c r="B265" s="336">
        <v>903</v>
      </c>
      <c r="C265" s="338" t="s">
        <v>166</v>
      </c>
      <c r="D265" s="338" t="s">
        <v>254</v>
      </c>
      <c r="E265" s="338" t="s">
        <v>1215</v>
      </c>
      <c r="F265" s="338" t="s">
        <v>388</v>
      </c>
      <c r="G265" s="343">
        <f>500</f>
        <v>500</v>
      </c>
      <c r="H265" s="343">
        <f>500-121.3</f>
        <v>378.7</v>
      </c>
      <c r="I265" s="218"/>
      <c r="L265" s="325"/>
    </row>
    <row r="266" spans="1:13" ht="31.5" hidden="1" x14ac:dyDescent="0.25">
      <c r="A266" s="340" t="s">
        <v>1145</v>
      </c>
      <c r="B266" s="337">
        <v>903</v>
      </c>
      <c r="C266" s="341" t="s">
        <v>166</v>
      </c>
      <c r="D266" s="341" t="s">
        <v>254</v>
      </c>
      <c r="E266" s="341" t="s">
        <v>939</v>
      </c>
      <c r="F266" s="341"/>
      <c r="G266" s="339">
        <f>G267+G270</f>
        <v>0</v>
      </c>
      <c r="H266" s="339">
        <f>H267+H270</f>
        <v>0</v>
      </c>
      <c r="I266" s="218"/>
    </row>
    <row r="267" spans="1:13" ht="31.5" hidden="1" x14ac:dyDescent="0.25">
      <c r="A267" s="270" t="s">
        <v>1218</v>
      </c>
      <c r="B267" s="336">
        <v>903</v>
      </c>
      <c r="C267" s="338" t="s">
        <v>166</v>
      </c>
      <c r="D267" s="338" t="s">
        <v>254</v>
      </c>
      <c r="E267" s="338" t="s">
        <v>1216</v>
      </c>
      <c r="F267" s="338"/>
      <c r="G267" s="343">
        <f>'Пр.4 ведом.20'!G264</f>
        <v>0</v>
      </c>
      <c r="H267" s="343">
        <f t="shared" si="16"/>
        <v>0</v>
      </c>
      <c r="I267" s="218"/>
    </row>
    <row r="268" spans="1:13" ht="31.5" hidden="1" x14ac:dyDescent="0.25">
      <c r="A268" s="342" t="s">
        <v>147</v>
      </c>
      <c r="B268" s="336">
        <v>903</v>
      </c>
      <c r="C268" s="338" t="s">
        <v>166</v>
      </c>
      <c r="D268" s="338" t="s">
        <v>254</v>
      </c>
      <c r="E268" s="338" t="s">
        <v>1216</v>
      </c>
      <c r="F268" s="338" t="s">
        <v>148</v>
      </c>
      <c r="G268" s="343">
        <f>'Пр.4 ведом.20'!G265</f>
        <v>0</v>
      </c>
      <c r="H268" s="343">
        <f t="shared" si="16"/>
        <v>0</v>
      </c>
      <c r="I268" s="218"/>
    </row>
    <row r="269" spans="1:13" ht="31.5" hidden="1" x14ac:dyDescent="0.25">
      <c r="A269" s="342" t="s">
        <v>149</v>
      </c>
      <c r="B269" s="336">
        <v>903</v>
      </c>
      <c r="C269" s="338" t="s">
        <v>166</v>
      </c>
      <c r="D269" s="338" t="s">
        <v>254</v>
      </c>
      <c r="E269" s="338" t="s">
        <v>1216</v>
      </c>
      <c r="F269" s="338" t="s">
        <v>150</v>
      </c>
      <c r="G269" s="343">
        <f>'Пр.4 ведом.20'!G266</f>
        <v>0</v>
      </c>
      <c r="H269" s="343">
        <f t="shared" si="16"/>
        <v>0</v>
      </c>
      <c r="I269" s="218"/>
    </row>
    <row r="270" spans="1:13" ht="31.5" hidden="1" x14ac:dyDescent="0.25">
      <c r="A270" s="342" t="s">
        <v>393</v>
      </c>
      <c r="B270" s="336">
        <v>903</v>
      </c>
      <c r="C270" s="338" t="s">
        <v>166</v>
      </c>
      <c r="D270" s="338" t="s">
        <v>254</v>
      </c>
      <c r="E270" s="338" t="s">
        <v>1217</v>
      </c>
      <c r="F270" s="338"/>
      <c r="G270" s="343">
        <f>'Пр.4 ведом.20'!G267</f>
        <v>0</v>
      </c>
      <c r="H270" s="343">
        <f t="shared" si="16"/>
        <v>0</v>
      </c>
      <c r="I270" s="218"/>
    </row>
    <row r="271" spans="1:13" ht="31.5" hidden="1" x14ac:dyDescent="0.25">
      <c r="A271" s="342" t="s">
        <v>147</v>
      </c>
      <c r="B271" s="336">
        <v>903</v>
      </c>
      <c r="C271" s="338" t="s">
        <v>166</v>
      </c>
      <c r="D271" s="338" t="s">
        <v>254</v>
      </c>
      <c r="E271" s="338" t="s">
        <v>1217</v>
      </c>
      <c r="F271" s="338" t="s">
        <v>148</v>
      </c>
      <c r="G271" s="343">
        <f>'Пр.4 ведом.20'!G268</f>
        <v>0</v>
      </c>
      <c r="H271" s="343">
        <f t="shared" si="16"/>
        <v>0</v>
      </c>
      <c r="I271" s="218"/>
    </row>
    <row r="272" spans="1:13" ht="31.5" hidden="1" x14ac:dyDescent="0.25">
      <c r="A272" s="342" t="s">
        <v>149</v>
      </c>
      <c r="B272" s="336">
        <v>903</v>
      </c>
      <c r="C272" s="338" t="s">
        <v>166</v>
      </c>
      <c r="D272" s="338" t="s">
        <v>254</v>
      </c>
      <c r="E272" s="338" t="s">
        <v>1217</v>
      </c>
      <c r="F272" s="338" t="s">
        <v>150</v>
      </c>
      <c r="G272" s="343">
        <f>'Пр.4 ведом.20'!G269</f>
        <v>0</v>
      </c>
      <c r="H272" s="343">
        <f t="shared" si="16"/>
        <v>0</v>
      </c>
      <c r="I272" s="218"/>
    </row>
    <row r="273" spans="1:9" s="217" customFormat="1" ht="31.5" x14ac:dyDescent="0.25">
      <c r="A273" s="224" t="s">
        <v>1309</v>
      </c>
      <c r="B273" s="337">
        <v>903</v>
      </c>
      <c r="C273" s="341" t="s">
        <v>166</v>
      </c>
      <c r="D273" s="341" t="s">
        <v>254</v>
      </c>
      <c r="E273" s="341" t="s">
        <v>1308</v>
      </c>
      <c r="F273" s="341"/>
      <c r="G273" s="339">
        <f t="shared" ref="G273:H275" si="19">G274</f>
        <v>10</v>
      </c>
      <c r="H273" s="339">
        <f t="shared" si="19"/>
        <v>10</v>
      </c>
      <c r="I273" s="218"/>
    </row>
    <row r="274" spans="1:9" s="217" customFormat="1" ht="31.5" x14ac:dyDescent="0.25">
      <c r="A274" s="248" t="s">
        <v>1310</v>
      </c>
      <c r="B274" s="336">
        <v>903</v>
      </c>
      <c r="C274" s="338" t="s">
        <v>166</v>
      </c>
      <c r="D274" s="338" t="s">
        <v>254</v>
      </c>
      <c r="E274" s="338" t="s">
        <v>1360</v>
      </c>
      <c r="F274" s="338"/>
      <c r="G274" s="343">
        <f t="shared" si="19"/>
        <v>10</v>
      </c>
      <c r="H274" s="343">
        <f t="shared" si="19"/>
        <v>10</v>
      </c>
      <c r="I274" s="218"/>
    </row>
    <row r="275" spans="1:9" s="217" customFormat="1" ht="31.5" x14ac:dyDescent="0.25">
      <c r="A275" s="342" t="s">
        <v>147</v>
      </c>
      <c r="B275" s="336">
        <v>903</v>
      </c>
      <c r="C275" s="338" t="s">
        <v>166</v>
      </c>
      <c r="D275" s="338" t="s">
        <v>254</v>
      </c>
      <c r="E275" s="338" t="s">
        <v>1360</v>
      </c>
      <c r="F275" s="338" t="s">
        <v>148</v>
      </c>
      <c r="G275" s="343">
        <f t="shared" si="19"/>
        <v>10</v>
      </c>
      <c r="H275" s="343">
        <f t="shared" si="19"/>
        <v>10</v>
      </c>
      <c r="I275" s="218"/>
    </row>
    <row r="276" spans="1:9" s="217" customFormat="1" ht="31.5" x14ac:dyDescent="0.25">
      <c r="A276" s="342" t="s">
        <v>149</v>
      </c>
      <c r="B276" s="336">
        <v>903</v>
      </c>
      <c r="C276" s="338" t="s">
        <v>166</v>
      </c>
      <c r="D276" s="338" t="s">
        <v>254</v>
      </c>
      <c r="E276" s="338" t="s">
        <v>1360</v>
      </c>
      <c r="F276" s="338" t="s">
        <v>150</v>
      </c>
      <c r="G276" s="343">
        <f>10</f>
        <v>10</v>
      </c>
      <c r="H276" s="343">
        <f>G276</f>
        <v>10</v>
      </c>
      <c r="I276" s="218"/>
    </row>
    <row r="277" spans="1:9" ht="15.75" x14ac:dyDescent="0.25">
      <c r="A277" s="340" t="s">
        <v>279</v>
      </c>
      <c r="B277" s="337">
        <v>903</v>
      </c>
      <c r="C277" s="341" t="s">
        <v>280</v>
      </c>
      <c r="D277" s="338"/>
      <c r="E277" s="338"/>
      <c r="F277" s="338"/>
      <c r="G277" s="339">
        <f>G278+G321</f>
        <v>17624.7</v>
      </c>
      <c r="H277" s="339">
        <f>H278+H321</f>
        <v>17624.7</v>
      </c>
      <c r="I277" s="218"/>
    </row>
    <row r="278" spans="1:9" ht="15.75" x14ac:dyDescent="0.25">
      <c r="A278" s="340" t="s">
        <v>281</v>
      </c>
      <c r="B278" s="337">
        <v>903</v>
      </c>
      <c r="C278" s="341" t="s">
        <v>280</v>
      </c>
      <c r="D278" s="341" t="s">
        <v>231</v>
      </c>
      <c r="E278" s="341"/>
      <c r="F278" s="341"/>
      <c r="G278" s="339">
        <f>G279+G316</f>
        <v>16864.7</v>
      </c>
      <c r="H278" s="339">
        <f>H279+H316</f>
        <v>16864.7</v>
      </c>
      <c r="I278" s="218"/>
    </row>
    <row r="279" spans="1:9" ht="47.25" x14ac:dyDescent="0.25">
      <c r="A279" s="340" t="s">
        <v>1426</v>
      </c>
      <c r="B279" s="337">
        <v>903</v>
      </c>
      <c r="C279" s="341" t="s">
        <v>280</v>
      </c>
      <c r="D279" s="341" t="s">
        <v>231</v>
      </c>
      <c r="E279" s="341" t="s">
        <v>283</v>
      </c>
      <c r="F279" s="341"/>
      <c r="G279" s="339">
        <f>G280</f>
        <v>16643.7</v>
      </c>
      <c r="H279" s="339">
        <f>H280</f>
        <v>16643.7</v>
      </c>
      <c r="I279" s="218"/>
    </row>
    <row r="280" spans="1:9" ht="47.25" x14ac:dyDescent="0.25">
      <c r="A280" s="340" t="s">
        <v>284</v>
      </c>
      <c r="B280" s="337">
        <v>903</v>
      </c>
      <c r="C280" s="341" t="s">
        <v>280</v>
      </c>
      <c r="D280" s="341" t="s">
        <v>231</v>
      </c>
      <c r="E280" s="341" t="s">
        <v>285</v>
      </c>
      <c r="F280" s="341"/>
      <c r="G280" s="339">
        <f>G281+G289+G293+G303+G299</f>
        <v>16643.7</v>
      </c>
      <c r="H280" s="339">
        <f>H281+H289+H293+H303+H299</f>
        <v>16643.7</v>
      </c>
      <c r="I280" s="218"/>
    </row>
    <row r="281" spans="1:9" ht="36" customHeight="1" x14ac:dyDescent="0.25">
      <c r="A281" s="340" t="s">
        <v>941</v>
      </c>
      <c r="B281" s="337">
        <v>903</v>
      </c>
      <c r="C281" s="341" t="s">
        <v>280</v>
      </c>
      <c r="D281" s="341" t="s">
        <v>231</v>
      </c>
      <c r="E281" s="341" t="s">
        <v>942</v>
      </c>
      <c r="F281" s="341"/>
      <c r="G281" s="44">
        <f>G282</f>
        <v>15011</v>
      </c>
      <c r="H281" s="44">
        <f>H282</f>
        <v>15011</v>
      </c>
      <c r="I281" s="218"/>
    </row>
    <row r="282" spans="1:9" ht="15.75" x14ac:dyDescent="0.25">
      <c r="A282" s="342" t="s">
        <v>832</v>
      </c>
      <c r="B282" s="336">
        <v>903</v>
      </c>
      <c r="C282" s="338" t="s">
        <v>280</v>
      </c>
      <c r="D282" s="338" t="s">
        <v>231</v>
      </c>
      <c r="E282" s="338" t="s">
        <v>940</v>
      </c>
      <c r="F282" s="338"/>
      <c r="G282" s="343">
        <f>G283+G285+G288</f>
        <v>15011</v>
      </c>
      <c r="H282" s="343">
        <f>H283+H285+H288</f>
        <v>15011</v>
      </c>
      <c r="I282" s="218"/>
    </row>
    <row r="283" spans="1:9" ht="78.75" x14ac:dyDescent="0.25">
      <c r="A283" s="342" t="s">
        <v>143</v>
      </c>
      <c r="B283" s="336">
        <v>903</v>
      </c>
      <c r="C283" s="338" t="s">
        <v>280</v>
      </c>
      <c r="D283" s="338" t="s">
        <v>231</v>
      </c>
      <c r="E283" s="338" t="s">
        <v>940</v>
      </c>
      <c r="F283" s="338" t="s">
        <v>144</v>
      </c>
      <c r="G283" s="343">
        <f>G284</f>
        <v>13393</v>
      </c>
      <c r="H283" s="343">
        <f>H284</f>
        <v>13393</v>
      </c>
      <c r="I283" s="218"/>
    </row>
    <row r="284" spans="1:9" ht="21.2" customHeight="1" x14ac:dyDescent="0.25">
      <c r="A284" s="46" t="s">
        <v>358</v>
      </c>
      <c r="B284" s="336">
        <v>903</v>
      </c>
      <c r="C284" s="338" t="s">
        <v>280</v>
      </c>
      <c r="D284" s="338" t="s">
        <v>231</v>
      </c>
      <c r="E284" s="338" t="s">
        <v>940</v>
      </c>
      <c r="F284" s="338" t="s">
        <v>225</v>
      </c>
      <c r="G284" s="343">
        <f>13393</f>
        <v>13393</v>
      </c>
      <c r="H284" s="343">
        <f t="shared" si="16"/>
        <v>13393</v>
      </c>
      <c r="I284" s="218"/>
    </row>
    <row r="285" spans="1:9" ht="31.5" x14ac:dyDescent="0.25">
      <c r="A285" s="342" t="s">
        <v>147</v>
      </c>
      <c r="B285" s="336">
        <v>903</v>
      </c>
      <c r="C285" s="338" t="s">
        <v>280</v>
      </c>
      <c r="D285" s="338" t="s">
        <v>231</v>
      </c>
      <c r="E285" s="338" t="s">
        <v>940</v>
      </c>
      <c r="F285" s="338" t="s">
        <v>148</v>
      </c>
      <c r="G285" s="343">
        <f>G286</f>
        <v>1540</v>
      </c>
      <c r="H285" s="343">
        <f>H286</f>
        <v>1540</v>
      </c>
      <c r="I285" s="218"/>
    </row>
    <row r="286" spans="1:9" ht="31.5" x14ac:dyDescent="0.25">
      <c r="A286" s="342" t="s">
        <v>149</v>
      </c>
      <c r="B286" s="336">
        <v>903</v>
      </c>
      <c r="C286" s="338" t="s">
        <v>280</v>
      </c>
      <c r="D286" s="338" t="s">
        <v>231</v>
      </c>
      <c r="E286" s="338" t="s">
        <v>940</v>
      </c>
      <c r="F286" s="338" t="s">
        <v>150</v>
      </c>
      <c r="G286" s="343">
        <f>1540</f>
        <v>1540</v>
      </c>
      <c r="H286" s="343">
        <f t="shared" ref="H286:H350" si="20">G286</f>
        <v>1540</v>
      </c>
      <c r="I286" s="218"/>
    </row>
    <row r="287" spans="1:9" ht="15.75" x14ac:dyDescent="0.25">
      <c r="A287" s="342" t="s">
        <v>151</v>
      </c>
      <c r="B287" s="336">
        <v>903</v>
      </c>
      <c r="C287" s="338" t="s">
        <v>280</v>
      </c>
      <c r="D287" s="338" t="s">
        <v>231</v>
      </c>
      <c r="E287" s="338" t="s">
        <v>940</v>
      </c>
      <c r="F287" s="338" t="s">
        <v>161</v>
      </c>
      <c r="G287" s="343">
        <f>G288</f>
        <v>78</v>
      </c>
      <c r="H287" s="343">
        <f>H288</f>
        <v>78</v>
      </c>
      <c r="I287" s="218"/>
    </row>
    <row r="288" spans="1:9" ht="15.75" x14ac:dyDescent="0.25">
      <c r="A288" s="342" t="s">
        <v>727</v>
      </c>
      <c r="B288" s="336">
        <v>903</v>
      </c>
      <c r="C288" s="338" t="s">
        <v>280</v>
      </c>
      <c r="D288" s="338" t="s">
        <v>231</v>
      </c>
      <c r="E288" s="338" t="s">
        <v>940</v>
      </c>
      <c r="F288" s="338" t="s">
        <v>154</v>
      </c>
      <c r="G288" s="343">
        <f>78</f>
        <v>78</v>
      </c>
      <c r="H288" s="343">
        <f t="shared" si="20"/>
        <v>78</v>
      </c>
      <c r="I288" s="218"/>
    </row>
    <row r="289" spans="1:9" ht="47.25" x14ac:dyDescent="0.25">
      <c r="A289" s="228" t="s">
        <v>1189</v>
      </c>
      <c r="B289" s="337">
        <v>903</v>
      </c>
      <c r="C289" s="341" t="s">
        <v>280</v>
      </c>
      <c r="D289" s="341" t="s">
        <v>231</v>
      </c>
      <c r="E289" s="341" t="s">
        <v>944</v>
      </c>
      <c r="F289" s="341"/>
      <c r="G289" s="44">
        <f t="shared" ref="G289:H291" si="21">G290</f>
        <v>45</v>
      </c>
      <c r="H289" s="44">
        <f t="shared" si="21"/>
        <v>45</v>
      </c>
      <c r="I289" s="218"/>
    </row>
    <row r="290" spans="1:9" ht="31.5" x14ac:dyDescent="0.25">
      <c r="A290" s="209" t="s">
        <v>831</v>
      </c>
      <c r="B290" s="336">
        <v>903</v>
      </c>
      <c r="C290" s="338" t="s">
        <v>280</v>
      </c>
      <c r="D290" s="338" t="s">
        <v>231</v>
      </c>
      <c r="E290" s="338" t="s">
        <v>943</v>
      </c>
      <c r="F290" s="338"/>
      <c r="G290" s="343">
        <f t="shared" si="21"/>
        <v>45</v>
      </c>
      <c r="H290" s="343">
        <f t="shared" si="21"/>
        <v>45</v>
      </c>
      <c r="I290" s="218"/>
    </row>
    <row r="291" spans="1:9" ht="20.25" customHeight="1" x14ac:dyDescent="0.25">
      <c r="A291" s="342" t="s">
        <v>264</v>
      </c>
      <c r="B291" s="336">
        <v>903</v>
      </c>
      <c r="C291" s="338" t="s">
        <v>280</v>
      </c>
      <c r="D291" s="338" t="s">
        <v>231</v>
      </c>
      <c r="E291" s="338" t="s">
        <v>943</v>
      </c>
      <c r="F291" s="338" t="s">
        <v>265</v>
      </c>
      <c r="G291" s="343">
        <f t="shared" si="21"/>
        <v>45</v>
      </c>
      <c r="H291" s="343">
        <f t="shared" si="21"/>
        <v>45</v>
      </c>
      <c r="I291" s="218"/>
    </row>
    <row r="292" spans="1:9" ht="15.75" x14ac:dyDescent="0.25">
      <c r="A292" s="342" t="s">
        <v>865</v>
      </c>
      <c r="B292" s="336">
        <v>903</v>
      </c>
      <c r="C292" s="338" t="s">
        <v>280</v>
      </c>
      <c r="D292" s="338" t="s">
        <v>231</v>
      </c>
      <c r="E292" s="338" t="s">
        <v>943</v>
      </c>
      <c r="F292" s="338" t="s">
        <v>864</v>
      </c>
      <c r="G292" s="343">
        <f>45</f>
        <v>45</v>
      </c>
      <c r="H292" s="343">
        <f t="shared" si="20"/>
        <v>45</v>
      </c>
      <c r="I292" s="218"/>
    </row>
    <row r="293" spans="1:9" ht="47.25" x14ac:dyDescent="0.25">
      <c r="A293" s="233" t="s">
        <v>1168</v>
      </c>
      <c r="B293" s="337">
        <v>903</v>
      </c>
      <c r="C293" s="341" t="s">
        <v>280</v>
      </c>
      <c r="D293" s="341" t="s">
        <v>231</v>
      </c>
      <c r="E293" s="341" t="s">
        <v>945</v>
      </c>
      <c r="F293" s="341"/>
      <c r="G293" s="339">
        <f t="shared" ref="G293:H295" si="22">G294</f>
        <v>250</v>
      </c>
      <c r="H293" s="339">
        <f t="shared" si="22"/>
        <v>250</v>
      </c>
      <c r="I293" s="218"/>
    </row>
    <row r="294" spans="1:9" ht="31.5" x14ac:dyDescent="0.25">
      <c r="A294" s="31" t="s">
        <v>860</v>
      </c>
      <c r="B294" s="336">
        <v>903</v>
      </c>
      <c r="C294" s="338" t="s">
        <v>280</v>
      </c>
      <c r="D294" s="338" t="s">
        <v>231</v>
      </c>
      <c r="E294" s="338" t="s">
        <v>946</v>
      </c>
      <c r="F294" s="338"/>
      <c r="G294" s="343">
        <f t="shared" si="22"/>
        <v>250</v>
      </c>
      <c r="H294" s="343">
        <f t="shared" si="22"/>
        <v>250</v>
      </c>
      <c r="I294" s="218"/>
    </row>
    <row r="295" spans="1:9" ht="78.75" x14ac:dyDescent="0.25">
      <c r="A295" s="342" t="s">
        <v>143</v>
      </c>
      <c r="B295" s="336">
        <v>903</v>
      </c>
      <c r="C295" s="338" t="s">
        <v>280</v>
      </c>
      <c r="D295" s="338" t="s">
        <v>231</v>
      </c>
      <c r="E295" s="338" t="s">
        <v>946</v>
      </c>
      <c r="F295" s="338" t="s">
        <v>144</v>
      </c>
      <c r="G295" s="343">
        <f t="shared" si="22"/>
        <v>250</v>
      </c>
      <c r="H295" s="343">
        <f t="shared" si="22"/>
        <v>250</v>
      </c>
      <c r="I295" s="218"/>
    </row>
    <row r="296" spans="1:9" ht="24" customHeight="1" x14ac:dyDescent="0.25">
      <c r="A296" s="46" t="s">
        <v>358</v>
      </c>
      <c r="B296" s="336">
        <v>903</v>
      </c>
      <c r="C296" s="338" t="s">
        <v>280</v>
      </c>
      <c r="D296" s="338" t="s">
        <v>231</v>
      </c>
      <c r="E296" s="338" t="s">
        <v>946</v>
      </c>
      <c r="F296" s="338" t="s">
        <v>225</v>
      </c>
      <c r="G296" s="343">
        <f>250</f>
        <v>250</v>
      </c>
      <c r="H296" s="343">
        <f t="shared" si="20"/>
        <v>250</v>
      </c>
      <c r="I296" s="218"/>
    </row>
    <row r="297" spans="1:9" ht="31.5" hidden="1" x14ac:dyDescent="0.25">
      <c r="A297" s="342" t="s">
        <v>147</v>
      </c>
      <c r="B297" s="336">
        <v>903</v>
      </c>
      <c r="C297" s="338" t="s">
        <v>280</v>
      </c>
      <c r="D297" s="338" t="s">
        <v>231</v>
      </c>
      <c r="E297" s="338" t="s">
        <v>946</v>
      </c>
      <c r="F297" s="338" t="s">
        <v>148</v>
      </c>
      <c r="G297" s="343">
        <f>'Пр.4 ведом.20'!G294</f>
        <v>0</v>
      </c>
      <c r="H297" s="343">
        <f t="shared" si="20"/>
        <v>0</v>
      </c>
      <c r="I297" s="218"/>
    </row>
    <row r="298" spans="1:9" ht="31.5" hidden="1" x14ac:dyDescent="0.25">
      <c r="A298" s="342" t="s">
        <v>149</v>
      </c>
      <c r="B298" s="336">
        <v>903</v>
      </c>
      <c r="C298" s="338" t="s">
        <v>280</v>
      </c>
      <c r="D298" s="338" t="s">
        <v>231</v>
      </c>
      <c r="E298" s="338" t="s">
        <v>946</v>
      </c>
      <c r="F298" s="338" t="s">
        <v>150</v>
      </c>
      <c r="G298" s="343">
        <f>'Пр.4 ведом.20'!G295</f>
        <v>0</v>
      </c>
      <c r="H298" s="343">
        <f t="shared" si="20"/>
        <v>0</v>
      </c>
      <c r="I298" s="218"/>
    </row>
    <row r="299" spans="1:9" ht="31.5" x14ac:dyDescent="0.25">
      <c r="A299" s="340" t="s">
        <v>1076</v>
      </c>
      <c r="B299" s="337">
        <v>903</v>
      </c>
      <c r="C299" s="341" t="s">
        <v>280</v>
      </c>
      <c r="D299" s="341" t="s">
        <v>231</v>
      </c>
      <c r="E299" s="341" t="s">
        <v>951</v>
      </c>
      <c r="F299" s="341"/>
      <c r="G299" s="44">
        <f t="shared" ref="G299:H301" si="23">G300</f>
        <v>336</v>
      </c>
      <c r="H299" s="44">
        <f t="shared" si="23"/>
        <v>336</v>
      </c>
      <c r="I299" s="218"/>
    </row>
    <row r="300" spans="1:9" ht="47.25" x14ac:dyDescent="0.25">
      <c r="A300" s="342" t="s">
        <v>885</v>
      </c>
      <c r="B300" s="336">
        <v>903</v>
      </c>
      <c r="C300" s="338" t="s">
        <v>280</v>
      </c>
      <c r="D300" s="338" t="s">
        <v>231</v>
      </c>
      <c r="E300" s="338" t="s">
        <v>1263</v>
      </c>
      <c r="F300" s="338"/>
      <c r="G300" s="343">
        <f t="shared" si="23"/>
        <v>336</v>
      </c>
      <c r="H300" s="343">
        <f t="shared" si="23"/>
        <v>336</v>
      </c>
      <c r="I300" s="218"/>
    </row>
    <row r="301" spans="1:9" ht="78.75" x14ac:dyDescent="0.25">
      <c r="A301" s="342" t="s">
        <v>143</v>
      </c>
      <c r="B301" s="336">
        <v>903</v>
      </c>
      <c r="C301" s="338" t="s">
        <v>280</v>
      </c>
      <c r="D301" s="338" t="s">
        <v>231</v>
      </c>
      <c r="E301" s="338" t="s">
        <v>1263</v>
      </c>
      <c r="F301" s="338" t="s">
        <v>144</v>
      </c>
      <c r="G301" s="343">
        <f t="shared" si="23"/>
        <v>336</v>
      </c>
      <c r="H301" s="343">
        <f t="shared" si="23"/>
        <v>336</v>
      </c>
      <c r="I301" s="218"/>
    </row>
    <row r="302" spans="1:9" ht="31.5" x14ac:dyDescent="0.25">
      <c r="A302" s="342" t="s">
        <v>358</v>
      </c>
      <c r="B302" s="336">
        <v>903</v>
      </c>
      <c r="C302" s="338" t="s">
        <v>280</v>
      </c>
      <c r="D302" s="338" t="s">
        <v>231</v>
      </c>
      <c r="E302" s="338" t="s">
        <v>1263</v>
      </c>
      <c r="F302" s="338" t="s">
        <v>225</v>
      </c>
      <c r="G302" s="343">
        <f>336</f>
        <v>336</v>
      </c>
      <c r="H302" s="343">
        <f t="shared" si="20"/>
        <v>336</v>
      </c>
      <c r="I302" s="218"/>
    </row>
    <row r="303" spans="1:9" ht="47.25" x14ac:dyDescent="0.25">
      <c r="A303" s="340" t="s">
        <v>971</v>
      </c>
      <c r="B303" s="337">
        <v>903</v>
      </c>
      <c r="C303" s="341" t="s">
        <v>280</v>
      </c>
      <c r="D303" s="341" t="s">
        <v>231</v>
      </c>
      <c r="E303" s="341" t="s">
        <v>1264</v>
      </c>
      <c r="F303" s="341"/>
      <c r="G303" s="44">
        <f>G307+G310+G313+G304</f>
        <v>1001.7</v>
      </c>
      <c r="H303" s="44">
        <f>H307+H310+H313+H304</f>
        <v>1001.7</v>
      </c>
      <c r="I303" s="218"/>
    </row>
    <row r="304" spans="1:9" s="331" customFormat="1" ht="94.5" x14ac:dyDescent="0.25">
      <c r="A304" s="31" t="s">
        <v>309</v>
      </c>
      <c r="B304" s="336">
        <v>903</v>
      </c>
      <c r="C304" s="338" t="s">
        <v>280</v>
      </c>
      <c r="D304" s="338" t="s">
        <v>231</v>
      </c>
      <c r="E304" s="338" t="s">
        <v>1520</v>
      </c>
      <c r="F304" s="338"/>
      <c r="G304" s="344">
        <f>G305</f>
        <v>602.5</v>
      </c>
      <c r="H304" s="344">
        <f>H305</f>
        <v>602.5</v>
      </c>
      <c r="I304" s="332"/>
    </row>
    <row r="305" spans="1:9" s="331" customFormat="1" ht="78.75" x14ac:dyDescent="0.25">
      <c r="A305" s="342" t="s">
        <v>143</v>
      </c>
      <c r="B305" s="336">
        <v>903</v>
      </c>
      <c r="C305" s="338" t="s">
        <v>280</v>
      </c>
      <c r="D305" s="338" t="s">
        <v>231</v>
      </c>
      <c r="E305" s="338" t="s">
        <v>1520</v>
      </c>
      <c r="F305" s="338" t="s">
        <v>144</v>
      </c>
      <c r="G305" s="344">
        <f>G306</f>
        <v>602.5</v>
      </c>
      <c r="H305" s="344">
        <f>H306</f>
        <v>602.5</v>
      </c>
      <c r="I305" s="332"/>
    </row>
    <row r="306" spans="1:9" s="331" customFormat="1" ht="31.5" x14ac:dyDescent="0.25">
      <c r="A306" s="46" t="s">
        <v>358</v>
      </c>
      <c r="B306" s="336">
        <v>903</v>
      </c>
      <c r="C306" s="338" t="s">
        <v>280</v>
      </c>
      <c r="D306" s="338" t="s">
        <v>231</v>
      </c>
      <c r="E306" s="338" t="s">
        <v>1520</v>
      </c>
      <c r="F306" s="338" t="s">
        <v>225</v>
      </c>
      <c r="G306" s="344">
        <v>602.5</v>
      </c>
      <c r="H306" s="344">
        <v>602.5</v>
      </c>
      <c r="I306" s="332"/>
    </row>
    <row r="307" spans="1:9" ht="63" x14ac:dyDescent="0.25">
      <c r="A307" s="31" t="s">
        <v>305</v>
      </c>
      <c r="B307" s="336">
        <v>903</v>
      </c>
      <c r="C307" s="338" t="s">
        <v>280</v>
      </c>
      <c r="D307" s="338" t="s">
        <v>231</v>
      </c>
      <c r="E307" s="338" t="s">
        <v>1265</v>
      </c>
      <c r="F307" s="338"/>
      <c r="G307" s="343">
        <f>G308</f>
        <v>100.8</v>
      </c>
      <c r="H307" s="343">
        <f>H308</f>
        <v>100.8</v>
      </c>
      <c r="I307" s="218"/>
    </row>
    <row r="308" spans="1:9" ht="78.75" x14ac:dyDescent="0.25">
      <c r="A308" s="342" t="s">
        <v>143</v>
      </c>
      <c r="B308" s="336">
        <v>903</v>
      </c>
      <c r="C308" s="338" t="s">
        <v>280</v>
      </c>
      <c r="D308" s="338" t="s">
        <v>231</v>
      </c>
      <c r="E308" s="338" t="s">
        <v>1265</v>
      </c>
      <c r="F308" s="338" t="s">
        <v>144</v>
      </c>
      <c r="G308" s="343">
        <f>G309</f>
        <v>100.8</v>
      </c>
      <c r="H308" s="343">
        <f>H309</f>
        <v>100.8</v>
      </c>
      <c r="I308" s="218"/>
    </row>
    <row r="309" spans="1:9" ht="31.5" x14ac:dyDescent="0.25">
      <c r="A309" s="46" t="s">
        <v>358</v>
      </c>
      <c r="B309" s="336">
        <v>903</v>
      </c>
      <c r="C309" s="338" t="s">
        <v>280</v>
      </c>
      <c r="D309" s="338" t="s">
        <v>231</v>
      </c>
      <c r="E309" s="338" t="s">
        <v>1265</v>
      </c>
      <c r="F309" s="338" t="s">
        <v>225</v>
      </c>
      <c r="G309" s="343">
        <f>100.8</f>
        <v>100.8</v>
      </c>
      <c r="H309" s="343">
        <f t="shared" si="20"/>
        <v>100.8</v>
      </c>
      <c r="I309" s="218"/>
    </row>
    <row r="310" spans="1:9" ht="63" x14ac:dyDescent="0.25">
      <c r="A310" s="31" t="s">
        <v>307</v>
      </c>
      <c r="B310" s="336">
        <v>903</v>
      </c>
      <c r="C310" s="338" t="s">
        <v>280</v>
      </c>
      <c r="D310" s="338" t="s">
        <v>231</v>
      </c>
      <c r="E310" s="338" t="s">
        <v>1266</v>
      </c>
      <c r="F310" s="338"/>
      <c r="G310" s="343">
        <f>G311</f>
        <v>298.39999999999998</v>
      </c>
      <c r="H310" s="343">
        <f t="shared" si="20"/>
        <v>298.39999999999998</v>
      </c>
      <c r="I310" s="218"/>
    </row>
    <row r="311" spans="1:9" ht="78.75" x14ac:dyDescent="0.25">
      <c r="A311" s="342" t="s">
        <v>143</v>
      </c>
      <c r="B311" s="336">
        <v>903</v>
      </c>
      <c r="C311" s="338" t="s">
        <v>280</v>
      </c>
      <c r="D311" s="338" t="s">
        <v>231</v>
      </c>
      <c r="E311" s="338" t="s">
        <v>1266</v>
      </c>
      <c r="F311" s="338" t="s">
        <v>144</v>
      </c>
      <c r="G311" s="343">
        <f>G312</f>
        <v>298.39999999999998</v>
      </c>
      <c r="H311" s="343">
        <f>H312</f>
        <v>298.39999999999998</v>
      </c>
      <c r="I311" s="218"/>
    </row>
    <row r="312" spans="1:9" ht="31.5" x14ac:dyDescent="0.25">
      <c r="A312" s="46" t="s">
        <v>358</v>
      </c>
      <c r="B312" s="336">
        <v>903</v>
      </c>
      <c r="C312" s="338" t="s">
        <v>280</v>
      </c>
      <c r="D312" s="338" t="s">
        <v>231</v>
      </c>
      <c r="E312" s="338" t="s">
        <v>1266</v>
      </c>
      <c r="F312" s="338" t="s">
        <v>225</v>
      </c>
      <c r="G312" s="343">
        <f>298.4</f>
        <v>298.39999999999998</v>
      </c>
      <c r="H312" s="343">
        <f t="shared" si="20"/>
        <v>298.39999999999998</v>
      </c>
      <c r="I312" s="218"/>
    </row>
    <row r="313" spans="1:9" ht="94.5" hidden="1" x14ac:dyDescent="0.25">
      <c r="A313" s="31" t="s">
        <v>309</v>
      </c>
      <c r="B313" s="336">
        <v>903</v>
      </c>
      <c r="C313" s="338" t="s">
        <v>280</v>
      </c>
      <c r="D313" s="338" t="s">
        <v>231</v>
      </c>
      <c r="E313" s="338" t="s">
        <v>1267</v>
      </c>
      <c r="F313" s="338"/>
      <c r="G313" s="343">
        <f>G314</f>
        <v>0</v>
      </c>
      <c r="H313" s="343">
        <f>H314</f>
        <v>0</v>
      </c>
      <c r="I313" s="218"/>
    </row>
    <row r="314" spans="1:9" ht="78.75" hidden="1" x14ac:dyDescent="0.25">
      <c r="A314" s="342" t="s">
        <v>143</v>
      </c>
      <c r="B314" s="336">
        <v>903</v>
      </c>
      <c r="C314" s="338" t="s">
        <v>280</v>
      </c>
      <c r="D314" s="338" t="s">
        <v>231</v>
      </c>
      <c r="E314" s="338" t="s">
        <v>1267</v>
      </c>
      <c r="F314" s="338" t="s">
        <v>144</v>
      </c>
      <c r="G314" s="343">
        <f>G315</f>
        <v>0</v>
      </c>
      <c r="H314" s="343">
        <f>H315</f>
        <v>0</v>
      </c>
      <c r="I314" s="218"/>
    </row>
    <row r="315" spans="1:9" ht="31.5" hidden="1" x14ac:dyDescent="0.25">
      <c r="A315" s="46" t="s">
        <v>358</v>
      </c>
      <c r="B315" s="336">
        <v>903</v>
      </c>
      <c r="C315" s="338" t="s">
        <v>280</v>
      </c>
      <c r="D315" s="338" t="s">
        <v>231</v>
      </c>
      <c r="E315" s="338" t="s">
        <v>1267</v>
      </c>
      <c r="F315" s="338" t="s">
        <v>225</v>
      </c>
      <c r="G315" s="343">
        <f>602.5-602.5</f>
        <v>0</v>
      </c>
      <c r="H315" s="343">
        <f t="shared" si="20"/>
        <v>0</v>
      </c>
      <c r="I315" s="218"/>
    </row>
    <row r="316" spans="1:9" ht="63" x14ac:dyDescent="0.25">
      <c r="A316" s="41" t="s">
        <v>1425</v>
      </c>
      <c r="B316" s="337">
        <v>903</v>
      </c>
      <c r="C316" s="341" t="s">
        <v>280</v>
      </c>
      <c r="D316" s="341" t="s">
        <v>231</v>
      </c>
      <c r="E316" s="341" t="s">
        <v>728</v>
      </c>
      <c r="F316" s="341"/>
      <c r="G316" s="339">
        <f>G318</f>
        <v>221</v>
      </c>
      <c r="H316" s="339">
        <f>H318</f>
        <v>221</v>
      </c>
      <c r="I316" s="218"/>
    </row>
    <row r="317" spans="1:9" ht="47.25" x14ac:dyDescent="0.25">
      <c r="A317" s="41" t="s">
        <v>949</v>
      </c>
      <c r="B317" s="337">
        <v>903</v>
      </c>
      <c r="C317" s="341" t="s">
        <v>280</v>
      </c>
      <c r="D317" s="341" t="s">
        <v>231</v>
      </c>
      <c r="E317" s="341" t="s">
        <v>947</v>
      </c>
      <c r="F317" s="341"/>
      <c r="G317" s="339">
        <f t="shared" ref="G317:H319" si="24">G318</f>
        <v>221</v>
      </c>
      <c r="H317" s="339">
        <f t="shared" si="24"/>
        <v>221</v>
      </c>
      <c r="I317" s="218"/>
    </row>
    <row r="318" spans="1:9" ht="47.25" x14ac:dyDescent="0.25">
      <c r="A318" s="99" t="s">
        <v>1157</v>
      </c>
      <c r="B318" s="338" t="s">
        <v>644</v>
      </c>
      <c r="C318" s="338" t="s">
        <v>280</v>
      </c>
      <c r="D318" s="338" t="s">
        <v>231</v>
      </c>
      <c r="E318" s="338" t="s">
        <v>948</v>
      </c>
      <c r="F318" s="32"/>
      <c r="G318" s="343">
        <f t="shared" si="24"/>
        <v>221</v>
      </c>
      <c r="H318" s="343">
        <f t="shared" si="24"/>
        <v>221</v>
      </c>
      <c r="I318" s="218"/>
    </row>
    <row r="319" spans="1:9" ht="31.5" x14ac:dyDescent="0.25">
      <c r="A319" s="342" t="s">
        <v>147</v>
      </c>
      <c r="B319" s="336">
        <v>903</v>
      </c>
      <c r="C319" s="338" t="s">
        <v>280</v>
      </c>
      <c r="D319" s="338" t="s">
        <v>231</v>
      </c>
      <c r="E319" s="338" t="s">
        <v>948</v>
      </c>
      <c r="F319" s="32" t="s">
        <v>148</v>
      </c>
      <c r="G319" s="343">
        <f t="shared" si="24"/>
        <v>221</v>
      </c>
      <c r="H319" s="343">
        <f t="shared" si="24"/>
        <v>221</v>
      </c>
      <c r="I319" s="218"/>
    </row>
    <row r="320" spans="1:9" ht="31.5" x14ac:dyDescent="0.25">
      <c r="A320" s="342" t="s">
        <v>149</v>
      </c>
      <c r="B320" s="336">
        <v>903</v>
      </c>
      <c r="C320" s="338" t="s">
        <v>280</v>
      </c>
      <c r="D320" s="338" t="s">
        <v>231</v>
      </c>
      <c r="E320" s="338" t="s">
        <v>948</v>
      </c>
      <c r="F320" s="32" t="s">
        <v>150</v>
      </c>
      <c r="G320" s="343">
        <f>221</f>
        <v>221</v>
      </c>
      <c r="H320" s="343">
        <f t="shared" si="20"/>
        <v>221</v>
      </c>
      <c r="I320" s="218"/>
    </row>
    <row r="321" spans="1:9" ht="15.75" x14ac:dyDescent="0.25">
      <c r="A321" s="340" t="s">
        <v>482</v>
      </c>
      <c r="B321" s="337">
        <v>903</v>
      </c>
      <c r="C321" s="341" t="s">
        <v>280</v>
      </c>
      <c r="D321" s="341" t="s">
        <v>280</v>
      </c>
      <c r="E321" s="338"/>
      <c r="F321" s="338"/>
      <c r="G321" s="339">
        <f>G322</f>
        <v>760</v>
      </c>
      <c r="H321" s="339">
        <f>H322</f>
        <v>760</v>
      </c>
      <c r="I321" s="218"/>
    </row>
    <row r="322" spans="1:9" ht="47.25" x14ac:dyDescent="0.25">
      <c r="A322" s="340" t="s">
        <v>1423</v>
      </c>
      <c r="B322" s="337">
        <v>903</v>
      </c>
      <c r="C322" s="341" t="s">
        <v>280</v>
      </c>
      <c r="D322" s="341" t="s">
        <v>280</v>
      </c>
      <c r="E322" s="341" t="s">
        <v>360</v>
      </c>
      <c r="F322" s="341"/>
      <c r="G322" s="339">
        <f>G323</f>
        <v>760</v>
      </c>
      <c r="H322" s="339">
        <f>H323</f>
        <v>760</v>
      </c>
      <c r="I322" s="218"/>
    </row>
    <row r="323" spans="1:9" ht="31.5" x14ac:dyDescent="0.25">
      <c r="A323" s="340" t="s">
        <v>361</v>
      </c>
      <c r="B323" s="337">
        <v>903</v>
      </c>
      <c r="C323" s="341" t="s">
        <v>280</v>
      </c>
      <c r="D323" s="341" t="s">
        <v>280</v>
      </c>
      <c r="E323" s="341" t="s">
        <v>362</v>
      </c>
      <c r="F323" s="341"/>
      <c r="G323" s="339">
        <f>G324+G331+G337</f>
        <v>760</v>
      </c>
      <c r="H323" s="339">
        <f>H324+H331+H337</f>
        <v>760</v>
      </c>
      <c r="I323" s="218"/>
    </row>
    <row r="324" spans="1:9" ht="47.25" x14ac:dyDescent="0.25">
      <c r="A324" s="223" t="s">
        <v>1196</v>
      </c>
      <c r="B324" s="337">
        <v>903</v>
      </c>
      <c r="C324" s="341" t="s">
        <v>280</v>
      </c>
      <c r="D324" s="341" t="s">
        <v>280</v>
      </c>
      <c r="E324" s="341" t="s">
        <v>952</v>
      </c>
      <c r="F324" s="341"/>
      <c r="G324" s="339">
        <f>G325+G328</f>
        <v>280</v>
      </c>
      <c r="H324" s="339">
        <f>H325+H328</f>
        <v>280</v>
      </c>
      <c r="I324" s="218"/>
    </row>
    <row r="325" spans="1:9" ht="31.5" x14ac:dyDescent="0.25">
      <c r="A325" s="99" t="s">
        <v>1202</v>
      </c>
      <c r="B325" s="336">
        <v>903</v>
      </c>
      <c r="C325" s="338" t="s">
        <v>280</v>
      </c>
      <c r="D325" s="338" t="s">
        <v>280</v>
      </c>
      <c r="E325" s="338" t="s">
        <v>953</v>
      </c>
      <c r="F325" s="338"/>
      <c r="G325" s="343">
        <f>G326</f>
        <v>280</v>
      </c>
      <c r="H325" s="343">
        <f>H326</f>
        <v>280</v>
      </c>
      <c r="I325" s="218"/>
    </row>
    <row r="326" spans="1:9" ht="78.75" x14ac:dyDescent="0.25">
      <c r="A326" s="342" t="s">
        <v>143</v>
      </c>
      <c r="B326" s="336">
        <v>903</v>
      </c>
      <c r="C326" s="338" t="s">
        <v>280</v>
      </c>
      <c r="D326" s="338" t="s">
        <v>280</v>
      </c>
      <c r="E326" s="338" t="s">
        <v>953</v>
      </c>
      <c r="F326" s="338" t="s">
        <v>144</v>
      </c>
      <c r="G326" s="343">
        <f>G327</f>
        <v>280</v>
      </c>
      <c r="H326" s="343">
        <f>H327</f>
        <v>280</v>
      </c>
      <c r="I326" s="218"/>
    </row>
    <row r="327" spans="1:9" ht="31.5" x14ac:dyDescent="0.25">
      <c r="A327" s="342" t="s">
        <v>358</v>
      </c>
      <c r="B327" s="336">
        <v>903</v>
      </c>
      <c r="C327" s="338" t="s">
        <v>280</v>
      </c>
      <c r="D327" s="338" t="s">
        <v>280</v>
      </c>
      <c r="E327" s="338" t="s">
        <v>953</v>
      </c>
      <c r="F327" s="338" t="s">
        <v>225</v>
      </c>
      <c r="G327" s="343">
        <f>280</f>
        <v>280</v>
      </c>
      <c r="H327" s="343">
        <f t="shared" si="20"/>
        <v>280</v>
      </c>
      <c r="I327" s="218"/>
    </row>
    <row r="328" spans="1:9" ht="31.5" hidden="1" x14ac:dyDescent="0.25">
      <c r="A328" s="342" t="s">
        <v>1197</v>
      </c>
      <c r="B328" s="336">
        <v>903</v>
      </c>
      <c r="C328" s="338" t="s">
        <v>280</v>
      </c>
      <c r="D328" s="338" t="s">
        <v>280</v>
      </c>
      <c r="E328" s="338" t="s">
        <v>1221</v>
      </c>
      <c r="F328" s="338"/>
      <c r="G328" s="343">
        <f>'Пр.4 ведом.20'!G325</f>
        <v>0</v>
      </c>
      <c r="H328" s="343">
        <f t="shared" si="20"/>
        <v>0</v>
      </c>
      <c r="I328" s="218"/>
    </row>
    <row r="329" spans="1:9" ht="31.5" hidden="1" x14ac:dyDescent="0.25">
      <c r="A329" s="342" t="s">
        <v>147</v>
      </c>
      <c r="B329" s="336">
        <v>903</v>
      </c>
      <c r="C329" s="338" t="s">
        <v>280</v>
      </c>
      <c r="D329" s="338" t="s">
        <v>280</v>
      </c>
      <c r="E329" s="338" t="s">
        <v>1221</v>
      </c>
      <c r="F329" s="338" t="s">
        <v>148</v>
      </c>
      <c r="G329" s="343">
        <f>'Пр.4 ведом.20'!G326</f>
        <v>0</v>
      </c>
      <c r="H329" s="343">
        <f t="shared" si="20"/>
        <v>0</v>
      </c>
      <c r="I329" s="218"/>
    </row>
    <row r="330" spans="1:9" ht="31.5" hidden="1" x14ac:dyDescent="0.25">
      <c r="A330" s="342" t="s">
        <v>149</v>
      </c>
      <c r="B330" s="336">
        <v>903</v>
      </c>
      <c r="C330" s="338" t="s">
        <v>280</v>
      </c>
      <c r="D330" s="338" t="s">
        <v>280</v>
      </c>
      <c r="E330" s="338" t="s">
        <v>1221</v>
      </c>
      <c r="F330" s="338" t="s">
        <v>150</v>
      </c>
      <c r="G330" s="343">
        <f>'Пр.4 ведом.20'!G327</f>
        <v>0</v>
      </c>
      <c r="H330" s="343">
        <f t="shared" si="20"/>
        <v>0</v>
      </c>
      <c r="I330" s="218"/>
    </row>
    <row r="331" spans="1:9" ht="63" x14ac:dyDescent="0.25">
      <c r="A331" s="340" t="s">
        <v>1198</v>
      </c>
      <c r="B331" s="337">
        <v>903</v>
      </c>
      <c r="C331" s="341" t="s">
        <v>280</v>
      </c>
      <c r="D331" s="341" t="s">
        <v>280</v>
      </c>
      <c r="E331" s="341" t="s">
        <v>954</v>
      </c>
      <c r="F331" s="341"/>
      <c r="G331" s="339">
        <f>G332</f>
        <v>455</v>
      </c>
      <c r="H331" s="339">
        <f>H332</f>
        <v>455</v>
      </c>
      <c r="I331" s="218"/>
    </row>
    <row r="332" spans="1:9" ht="15.75" x14ac:dyDescent="0.25">
      <c r="A332" s="342" t="s">
        <v>1199</v>
      </c>
      <c r="B332" s="336">
        <v>903</v>
      </c>
      <c r="C332" s="338" t="s">
        <v>280</v>
      </c>
      <c r="D332" s="338" t="s">
        <v>280</v>
      </c>
      <c r="E332" s="338" t="s">
        <v>972</v>
      </c>
      <c r="F332" s="338"/>
      <c r="G332" s="343">
        <f>G333+G335</f>
        <v>455</v>
      </c>
      <c r="H332" s="343">
        <f>H333+H335</f>
        <v>455</v>
      </c>
      <c r="I332" s="218"/>
    </row>
    <row r="333" spans="1:9" ht="78.75" x14ac:dyDescent="0.25">
      <c r="A333" s="342" t="s">
        <v>143</v>
      </c>
      <c r="B333" s="336">
        <v>903</v>
      </c>
      <c r="C333" s="338" t="s">
        <v>280</v>
      </c>
      <c r="D333" s="338" t="s">
        <v>280</v>
      </c>
      <c r="E333" s="338" t="s">
        <v>972</v>
      </c>
      <c r="F333" s="338" t="s">
        <v>144</v>
      </c>
      <c r="G333" s="343">
        <f>G334</f>
        <v>40</v>
      </c>
      <c r="H333" s="343">
        <f>H334</f>
        <v>40</v>
      </c>
      <c r="I333" s="218"/>
    </row>
    <row r="334" spans="1:9" ht="31.5" x14ac:dyDescent="0.25">
      <c r="A334" s="342" t="s">
        <v>358</v>
      </c>
      <c r="B334" s="336">
        <v>903</v>
      </c>
      <c r="C334" s="338" t="s">
        <v>280</v>
      </c>
      <c r="D334" s="338" t="s">
        <v>280</v>
      </c>
      <c r="E334" s="338" t="s">
        <v>972</v>
      </c>
      <c r="F334" s="338" t="s">
        <v>225</v>
      </c>
      <c r="G334" s="343">
        <f>40</f>
        <v>40</v>
      </c>
      <c r="H334" s="343">
        <f t="shared" si="20"/>
        <v>40</v>
      </c>
      <c r="I334" s="218"/>
    </row>
    <row r="335" spans="1:9" ht="31.5" x14ac:dyDescent="0.25">
      <c r="A335" s="342" t="s">
        <v>147</v>
      </c>
      <c r="B335" s="336">
        <v>903</v>
      </c>
      <c r="C335" s="338" t="s">
        <v>280</v>
      </c>
      <c r="D335" s="338" t="s">
        <v>280</v>
      </c>
      <c r="E335" s="338" t="s">
        <v>972</v>
      </c>
      <c r="F335" s="338" t="s">
        <v>148</v>
      </c>
      <c r="G335" s="343">
        <f>G336</f>
        <v>415</v>
      </c>
      <c r="H335" s="343">
        <f>H336</f>
        <v>415</v>
      </c>
      <c r="I335" s="218"/>
    </row>
    <row r="336" spans="1:9" ht="31.5" x14ac:dyDescent="0.25">
      <c r="A336" s="342" t="s">
        <v>149</v>
      </c>
      <c r="B336" s="336">
        <v>903</v>
      </c>
      <c r="C336" s="338" t="s">
        <v>280</v>
      </c>
      <c r="D336" s="338" t="s">
        <v>280</v>
      </c>
      <c r="E336" s="338" t="s">
        <v>972</v>
      </c>
      <c r="F336" s="338" t="s">
        <v>150</v>
      </c>
      <c r="G336" s="343">
        <f>415</f>
        <v>415</v>
      </c>
      <c r="H336" s="343">
        <f t="shared" si="20"/>
        <v>415</v>
      </c>
      <c r="I336" s="218"/>
    </row>
    <row r="337" spans="1:9" ht="31.5" x14ac:dyDescent="0.25">
      <c r="A337" s="340" t="s">
        <v>1204</v>
      </c>
      <c r="B337" s="337">
        <v>903</v>
      </c>
      <c r="C337" s="341" t="s">
        <v>280</v>
      </c>
      <c r="D337" s="341" t="s">
        <v>280</v>
      </c>
      <c r="E337" s="341" t="s">
        <v>1200</v>
      </c>
      <c r="F337" s="341"/>
      <c r="G337" s="339">
        <f t="shared" ref="G337:H339" si="25">G338</f>
        <v>25</v>
      </c>
      <c r="H337" s="339">
        <f t="shared" si="25"/>
        <v>25</v>
      </c>
      <c r="I337" s="218"/>
    </row>
    <row r="338" spans="1:9" ht="47.25" x14ac:dyDescent="0.25">
      <c r="A338" s="248" t="s">
        <v>1201</v>
      </c>
      <c r="B338" s="336">
        <v>903</v>
      </c>
      <c r="C338" s="338" t="s">
        <v>280</v>
      </c>
      <c r="D338" s="338" t="s">
        <v>280</v>
      </c>
      <c r="E338" s="338" t="s">
        <v>1222</v>
      </c>
      <c r="F338" s="338"/>
      <c r="G338" s="343">
        <f t="shared" si="25"/>
        <v>25</v>
      </c>
      <c r="H338" s="343">
        <f t="shared" si="25"/>
        <v>25</v>
      </c>
      <c r="I338" s="218"/>
    </row>
    <row r="339" spans="1:9" ht="31.5" x14ac:dyDescent="0.25">
      <c r="A339" s="342" t="s">
        <v>264</v>
      </c>
      <c r="B339" s="336">
        <v>903</v>
      </c>
      <c r="C339" s="338" t="s">
        <v>280</v>
      </c>
      <c r="D339" s="338" t="s">
        <v>280</v>
      </c>
      <c r="E339" s="338" t="s">
        <v>1222</v>
      </c>
      <c r="F339" s="338" t="s">
        <v>265</v>
      </c>
      <c r="G339" s="343">
        <f t="shared" si="25"/>
        <v>25</v>
      </c>
      <c r="H339" s="343">
        <f t="shared" si="25"/>
        <v>25</v>
      </c>
      <c r="I339" s="218"/>
    </row>
    <row r="340" spans="1:9" ht="31.5" x14ac:dyDescent="0.25">
      <c r="A340" s="342" t="s">
        <v>364</v>
      </c>
      <c r="B340" s="336">
        <v>903</v>
      </c>
      <c r="C340" s="338" t="s">
        <v>280</v>
      </c>
      <c r="D340" s="338" t="s">
        <v>280</v>
      </c>
      <c r="E340" s="338" t="s">
        <v>1222</v>
      </c>
      <c r="F340" s="338" t="s">
        <v>365</v>
      </c>
      <c r="G340" s="343">
        <f>25</f>
        <v>25</v>
      </c>
      <c r="H340" s="343">
        <f t="shared" si="20"/>
        <v>25</v>
      </c>
      <c r="I340" s="218"/>
    </row>
    <row r="341" spans="1:9" ht="15.75" x14ac:dyDescent="0.25">
      <c r="A341" s="340" t="s">
        <v>314</v>
      </c>
      <c r="B341" s="337">
        <v>903</v>
      </c>
      <c r="C341" s="341" t="s">
        <v>315</v>
      </c>
      <c r="D341" s="341"/>
      <c r="E341" s="341"/>
      <c r="F341" s="341"/>
      <c r="G341" s="339">
        <f>G342+G415</f>
        <v>70268.512000000002</v>
      </c>
      <c r="H341" s="339">
        <f>H342+H415</f>
        <v>67994.2</v>
      </c>
      <c r="I341" s="218"/>
    </row>
    <row r="342" spans="1:9" ht="15.75" x14ac:dyDescent="0.25">
      <c r="A342" s="340" t="s">
        <v>316</v>
      </c>
      <c r="B342" s="337">
        <v>903</v>
      </c>
      <c r="C342" s="341" t="s">
        <v>315</v>
      </c>
      <c r="D342" s="341" t="s">
        <v>134</v>
      </c>
      <c r="E342" s="341"/>
      <c r="F342" s="341"/>
      <c r="G342" s="339">
        <f>G343+G410+G405</f>
        <v>52929.512000000002</v>
      </c>
      <c r="H342" s="339">
        <f>H343+H410+H405</f>
        <v>50655.199999999997</v>
      </c>
      <c r="I342" s="218"/>
    </row>
    <row r="343" spans="1:9" ht="39.200000000000003" customHeight="1" x14ac:dyDescent="0.25">
      <c r="A343" s="340" t="s">
        <v>1426</v>
      </c>
      <c r="B343" s="337">
        <v>903</v>
      </c>
      <c r="C343" s="341" t="s">
        <v>315</v>
      </c>
      <c r="D343" s="341" t="s">
        <v>134</v>
      </c>
      <c r="E343" s="341" t="s">
        <v>283</v>
      </c>
      <c r="F343" s="341"/>
      <c r="G343" s="339">
        <f>G344+G371</f>
        <v>52136.312000000005</v>
      </c>
      <c r="H343" s="339">
        <f>H344+H371</f>
        <v>49862</v>
      </c>
      <c r="I343" s="218"/>
    </row>
    <row r="344" spans="1:9" ht="47.25" x14ac:dyDescent="0.25">
      <c r="A344" s="340" t="s">
        <v>1427</v>
      </c>
      <c r="B344" s="337">
        <v>903</v>
      </c>
      <c r="C344" s="341" t="s">
        <v>315</v>
      </c>
      <c r="D344" s="341" t="s">
        <v>134</v>
      </c>
      <c r="E344" s="341" t="s">
        <v>318</v>
      </c>
      <c r="F344" s="341"/>
      <c r="G344" s="339">
        <f>G345+G353+G359+G363+G367</f>
        <v>27742.858</v>
      </c>
      <c r="H344" s="339">
        <f>H345+H353+H359+H363+H367</f>
        <v>25446.3</v>
      </c>
      <c r="I344" s="218"/>
    </row>
    <row r="345" spans="1:9" ht="33.75" customHeight="1" x14ac:dyDescent="0.25">
      <c r="A345" s="340" t="s">
        <v>956</v>
      </c>
      <c r="B345" s="337">
        <v>903</v>
      </c>
      <c r="C345" s="341" t="s">
        <v>315</v>
      </c>
      <c r="D345" s="341" t="s">
        <v>134</v>
      </c>
      <c r="E345" s="341" t="s">
        <v>957</v>
      </c>
      <c r="F345" s="341"/>
      <c r="G345" s="339">
        <f>G346</f>
        <v>23784</v>
      </c>
      <c r="H345" s="339">
        <f>H346</f>
        <v>23784</v>
      </c>
      <c r="I345" s="218"/>
    </row>
    <row r="346" spans="1:9" ht="15.75" x14ac:dyDescent="0.25">
      <c r="A346" s="342" t="s">
        <v>832</v>
      </c>
      <c r="B346" s="336">
        <v>903</v>
      </c>
      <c r="C346" s="338" t="s">
        <v>315</v>
      </c>
      <c r="D346" s="338" t="s">
        <v>134</v>
      </c>
      <c r="E346" s="338" t="s">
        <v>955</v>
      </c>
      <c r="F346" s="338"/>
      <c r="G346" s="343">
        <f>G347+G349+G351</f>
        <v>23784</v>
      </c>
      <c r="H346" s="343">
        <f>H347+H349+H351</f>
        <v>23784</v>
      </c>
      <c r="I346" s="218"/>
    </row>
    <row r="347" spans="1:9" ht="78.75" x14ac:dyDescent="0.25">
      <c r="A347" s="342" t="s">
        <v>143</v>
      </c>
      <c r="B347" s="336">
        <v>903</v>
      </c>
      <c r="C347" s="338" t="s">
        <v>315</v>
      </c>
      <c r="D347" s="338" t="s">
        <v>134</v>
      </c>
      <c r="E347" s="338" t="s">
        <v>955</v>
      </c>
      <c r="F347" s="338" t="s">
        <v>144</v>
      </c>
      <c r="G347" s="343">
        <f>G348</f>
        <v>20032</v>
      </c>
      <c r="H347" s="343">
        <f>H348</f>
        <v>20032</v>
      </c>
      <c r="I347" s="218"/>
    </row>
    <row r="348" spans="1:9" ht="15.75" x14ac:dyDescent="0.25">
      <c r="A348" s="342" t="s">
        <v>224</v>
      </c>
      <c r="B348" s="336">
        <v>903</v>
      </c>
      <c r="C348" s="338" t="s">
        <v>315</v>
      </c>
      <c r="D348" s="338" t="s">
        <v>134</v>
      </c>
      <c r="E348" s="338" t="s">
        <v>955</v>
      </c>
      <c r="F348" s="338" t="s">
        <v>225</v>
      </c>
      <c r="G348" s="343">
        <f>20032</f>
        <v>20032</v>
      </c>
      <c r="H348" s="343">
        <f t="shared" si="20"/>
        <v>20032</v>
      </c>
      <c r="I348" s="218"/>
    </row>
    <row r="349" spans="1:9" ht="31.5" x14ac:dyDescent="0.25">
      <c r="A349" s="342" t="s">
        <v>147</v>
      </c>
      <c r="B349" s="336">
        <v>903</v>
      </c>
      <c r="C349" s="338" t="s">
        <v>315</v>
      </c>
      <c r="D349" s="338" t="s">
        <v>134</v>
      </c>
      <c r="E349" s="338" t="s">
        <v>955</v>
      </c>
      <c r="F349" s="338" t="s">
        <v>148</v>
      </c>
      <c r="G349" s="343">
        <f>G350</f>
        <v>3715</v>
      </c>
      <c r="H349" s="343">
        <f>H350</f>
        <v>3715</v>
      </c>
      <c r="I349" s="218"/>
    </row>
    <row r="350" spans="1:9" ht="31.5" x14ac:dyDescent="0.25">
      <c r="A350" s="342" t="s">
        <v>149</v>
      </c>
      <c r="B350" s="336">
        <v>903</v>
      </c>
      <c r="C350" s="338" t="s">
        <v>315</v>
      </c>
      <c r="D350" s="338" t="s">
        <v>134</v>
      </c>
      <c r="E350" s="338" t="s">
        <v>955</v>
      </c>
      <c r="F350" s="338" t="s">
        <v>150</v>
      </c>
      <c r="G350" s="343">
        <f>3715</f>
        <v>3715</v>
      </c>
      <c r="H350" s="343">
        <f t="shared" si="20"/>
        <v>3715</v>
      </c>
      <c r="I350" s="218"/>
    </row>
    <row r="351" spans="1:9" ht="15.75" x14ac:dyDescent="0.25">
      <c r="A351" s="342" t="s">
        <v>151</v>
      </c>
      <c r="B351" s="336">
        <v>903</v>
      </c>
      <c r="C351" s="338" t="s">
        <v>315</v>
      </c>
      <c r="D351" s="338" t="s">
        <v>134</v>
      </c>
      <c r="E351" s="338" t="s">
        <v>955</v>
      </c>
      <c r="F351" s="338" t="s">
        <v>161</v>
      </c>
      <c r="G351" s="343">
        <f>G352</f>
        <v>37</v>
      </c>
      <c r="H351" s="343">
        <f>H352</f>
        <v>37</v>
      </c>
      <c r="I351" s="218"/>
    </row>
    <row r="352" spans="1:9" ht="15.75" x14ac:dyDescent="0.25">
      <c r="A352" s="342" t="s">
        <v>584</v>
      </c>
      <c r="B352" s="336">
        <v>903</v>
      </c>
      <c r="C352" s="338" t="s">
        <v>315</v>
      </c>
      <c r="D352" s="338" t="s">
        <v>134</v>
      </c>
      <c r="E352" s="338" t="s">
        <v>955</v>
      </c>
      <c r="F352" s="338" t="s">
        <v>154</v>
      </c>
      <c r="G352" s="343">
        <f>37</f>
        <v>37</v>
      </c>
      <c r="H352" s="343">
        <f t="shared" ref="H352:H414" si="26">G352</f>
        <v>37</v>
      </c>
      <c r="I352" s="218"/>
    </row>
    <row r="353" spans="1:11" ht="31.5" x14ac:dyDescent="0.25">
      <c r="A353" s="229" t="s">
        <v>970</v>
      </c>
      <c r="B353" s="337">
        <v>903</v>
      </c>
      <c r="C353" s="341" t="s">
        <v>315</v>
      </c>
      <c r="D353" s="341" t="s">
        <v>134</v>
      </c>
      <c r="E353" s="341" t="s">
        <v>958</v>
      </c>
      <c r="F353" s="341"/>
      <c r="G353" s="339">
        <f>G354+G355</f>
        <v>250</v>
      </c>
      <c r="H353" s="339">
        <f t="shared" ref="H353:K353" si="27">H354+H355</f>
        <v>250</v>
      </c>
      <c r="I353" s="339">
        <f t="shared" si="27"/>
        <v>0</v>
      </c>
      <c r="J353" s="339">
        <f t="shared" si="27"/>
        <v>0</v>
      </c>
      <c r="K353" s="339">
        <f t="shared" si="27"/>
        <v>0</v>
      </c>
    </row>
    <row r="354" spans="1:11" ht="31.5" x14ac:dyDescent="0.25">
      <c r="A354" s="31" t="s">
        <v>860</v>
      </c>
      <c r="B354" s="336">
        <v>903</v>
      </c>
      <c r="C354" s="338" t="s">
        <v>315</v>
      </c>
      <c r="D354" s="338" t="s">
        <v>134</v>
      </c>
      <c r="E354" s="338" t="s">
        <v>959</v>
      </c>
      <c r="F354" s="338"/>
      <c r="G354" s="343">
        <f>G357</f>
        <v>250</v>
      </c>
      <c r="H354" s="343">
        <f>H357</f>
        <v>250</v>
      </c>
      <c r="I354" s="218"/>
    </row>
    <row r="355" spans="1:11" ht="78.75" hidden="1" x14ac:dyDescent="0.25">
      <c r="A355" s="342" t="s">
        <v>143</v>
      </c>
      <c r="B355" s="336">
        <v>903</v>
      </c>
      <c r="C355" s="338" t="s">
        <v>315</v>
      </c>
      <c r="D355" s="338" t="s">
        <v>134</v>
      </c>
      <c r="E355" s="338" t="s">
        <v>959</v>
      </c>
      <c r="F355" s="338" t="s">
        <v>144</v>
      </c>
      <c r="G355" s="343">
        <f>G356</f>
        <v>0</v>
      </c>
      <c r="H355" s="343">
        <f t="shared" si="26"/>
        <v>0</v>
      </c>
      <c r="I355" s="218"/>
    </row>
    <row r="356" spans="1:11" ht="15.75" hidden="1" x14ac:dyDescent="0.25">
      <c r="A356" s="342" t="s">
        <v>224</v>
      </c>
      <c r="B356" s="336">
        <v>903</v>
      </c>
      <c r="C356" s="338" t="s">
        <v>315</v>
      </c>
      <c r="D356" s="338" t="s">
        <v>134</v>
      </c>
      <c r="E356" s="338" t="s">
        <v>959</v>
      </c>
      <c r="F356" s="338" t="s">
        <v>225</v>
      </c>
      <c r="G356" s="343">
        <v>0</v>
      </c>
      <c r="H356" s="343">
        <f t="shared" si="26"/>
        <v>0</v>
      </c>
      <c r="I356" s="218"/>
    </row>
    <row r="357" spans="1:11" ht="31.5" x14ac:dyDescent="0.25">
      <c r="A357" s="342" t="s">
        <v>147</v>
      </c>
      <c r="B357" s="336">
        <v>903</v>
      </c>
      <c r="C357" s="338" t="s">
        <v>315</v>
      </c>
      <c r="D357" s="338" t="s">
        <v>134</v>
      </c>
      <c r="E357" s="338" t="s">
        <v>959</v>
      </c>
      <c r="F357" s="338" t="s">
        <v>148</v>
      </c>
      <c r="G357" s="343">
        <f>G358</f>
        <v>250</v>
      </c>
      <c r="H357" s="343">
        <f>H358</f>
        <v>250</v>
      </c>
      <c r="I357" s="218"/>
    </row>
    <row r="358" spans="1:11" ht="31.5" x14ac:dyDescent="0.25">
      <c r="A358" s="342" t="s">
        <v>149</v>
      </c>
      <c r="B358" s="336">
        <v>903</v>
      </c>
      <c r="C358" s="338" t="s">
        <v>315</v>
      </c>
      <c r="D358" s="338" t="s">
        <v>134</v>
      </c>
      <c r="E358" s="338" t="s">
        <v>959</v>
      </c>
      <c r="F358" s="338" t="s">
        <v>150</v>
      </c>
      <c r="G358" s="343">
        <f>250</f>
        <v>250</v>
      </c>
      <c r="H358" s="343">
        <f t="shared" si="26"/>
        <v>250</v>
      </c>
      <c r="I358" s="218"/>
    </row>
    <row r="359" spans="1:11" ht="31.5" x14ac:dyDescent="0.25">
      <c r="A359" s="340" t="s">
        <v>1076</v>
      </c>
      <c r="B359" s="337">
        <v>903</v>
      </c>
      <c r="C359" s="341" t="s">
        <v>315</v>
      </c>
      <c r="D359" s="341" t="s">
        <v>134</v>
      </c>
      <c r="E359" s="341" t="s">
        <v>1164</v>
      </c>
      <c r="F359" s="341"/>
      <c r="G359" s="44">
        <f t="shared" ref="G359:H361" si="28">G360</f>
        <v>588</v>
      </c>
      <c r="H359" s="44">
        <f t="shared" si="28"/>
        <v>588</v>
      </c>
      <c r="I359" s="218"/>
    </row>
    <row r="360" spans="1:11" ht="47.25" x14ac:dyDescent="0.25">
      <c r="A360" s="342" t="s">
        <v>885</v>
      </c>
      <c r="B360" s="336">
        <v>903</v>
      </c>
      <c r="C360" s="338" t="s">
        <v>315</v>
      </c>
      <c r="D360" s="338" t="s">
        <v>134</v>
      </c>
      <c r="E360" s="338" t="s">
        <v>1165</v>
      </c>
      <c r="F360" s="338"/>
      <c r="G360" s="343">
        <f t="shared" si="28"/>
        <v>588</v>
      </c>
      <c r="H360" s="343">
        <f t="shared" si="28"/>
        <v>588</v>
      </c>
      <c r="I360" s="218"/>
    </row>
    <row r="361" spans="1:11" ht="78.75" x14ac:dyDescent="0.25">
      <c r="A361" s="342" t="s">
        <v>143</v>
      </c>
      <c r="B361" s="336">
        <v>903</v>
      </c>
      <c r="C361" s="338" t="s">
        <v>315</v>
      </c>
      <c r="D361" s="338" t="s">
        <v>134</v>
      </c>
      <c r="E361" s="338" t="s">
        <v>1165</v>
      </c>
      <c r="F361" s="338" t="s">
        <v>144</v>
      </c>
      <c r="G361" s="343">
        <f t="shared" si="28"/>
        <v>588</v>
      </c>
      <c r="H361" s="343">
        <f t="shared" si="28"/>
        <v>588</v>
      </c>
      <c r="I361" s="218"/>
    </row>
    <row r="362" spans="1:11" ht="31.5" x14ac:dyDescent="0.25">
      <c r="A362" s="342" t="s">
        <v>145</v>
      </c>
      <c r="B362" s="336">
        <v>903</v>
      </c>
      <c r="C362" s="338" t="s">
        <v>315</v>
      </c>
      <c r="D362" s="338" t="s">
        <v>134</v>
      </c>
      <c r="E362" s="338" t="s">
        <v>1165</v>
      </c>
      <c r="F362" s="338" t="s">
        <v>225</v>
      </c>
      <c r="G362" s="343">
        <f>588</f>
        <v>588</v>
      </c>
      <c r="H362" s="343">
        <f t="shared" si="26"/>
        <v>588</v>
      </c>
      <c r="I362" s="218"/>
    </row>
    <row r="363" spans="1:11" ht="47.25" x14ac:dyDescent="0.25">
      <c r="A363" s="230" t="s">
        <v>971</v>
      </c>
      <c r="B363" s="337">
        <v>903</v>
      </c>
      <c r="C363" s="341" t="s">
        <v>315</v>
      </c>
      <c r="D363" s="341" t="s">
        <v>134</v>
      </c>
      <c r="E363" s="341" t="s">
        <v>1166</v>
      </c>
      <c r="F363" s="341"/>
      <c r="G363" s="339">
        <f t="shared" ref="G363:H365" si="29">G364</f>
        <v>824.3</v>
      </c>
      <c r="H363" s="339">
        <f t="shared" si="29"/>
        <v>824.3</v>
      </c>
      <c r="I363" s="218"/>
    </row>
    <row r="364" spans="1:11" ht="94.5" x14ac:dyDescent="0.25">
      <c r="A364" s="31" t="s">
        <v>309</v>
      </c>
      <c r="B364" s="336">
        <v>903</v>
      </c>
      <c r="C364" s="338" t="s">
        <v>315</v>
      </c>
      <c r="D364" s="338" t="s">
        <v>134</v>
      </c>
      <c r="E364" s="338" t="s">
        <v>1523</v>
      </c>
      <c r="F364" s="338"/>
      <c r="G364" s="343">
        <f t="shared" si="29"/>
        <v>824.3</v>
      </c>
      <c r="H364" s="343">
        <f t="shared" si="29"/>
        <v>824.3</v>
      </c>
      <c r="I364" s="218"/>
    </row>
    <row r="365" spans="1:11" ht="78.75" x14ac:dyDescent="0.25">
      <c r="A365" s="342" t="s">
        <v>143</v>
      </c>
      <c r="B365" s="336">
        <v>903</v>
      </c>
      <c r="C365" s="338" t="s">
        <v>315</v>
      </c>
      <c r="D365" s="338" t="s">
        <v>134</v>
      </c>
      <c r="E365" s="338" t="s">
        <v>1523</v>
      </c>
      <c r="F365" s="338" t="s">
        <v>144</v>
      </c>
      <c r="G365" s="343">
        <f t="shared" si="29"/>
        <v>824.3</v>
      </c>
      <c r="H365" s="343">
        <f t="shared" si="29"/>
        <v>824.3</v>
      </c>
      <c r="I365" s="218"/>
    </row>
    <row r="366" spans="1:11" ht="15.75" x14ac:dyDescent="0.25">
      <c r="A366" s="342" t="s">
        <v>224</v>
      </c>
      <c r="B366" s="336">
        <v>903</v>
      </c>
      <c r="C366" s="338" t="s">
        <v>315</v>
      </c>
      <c r="D366" s="338" t="s">
        <v>134</v>
      </c>
      <c r="E366" s="338" t="s">
        <v>1523</v>
      </c>
      <c r="F366" s="338" t="s">
        <v>225</v>
      </c>
      <c r="G366" s="343">
        <f>824.3</f>
        <v>824.3</v>
      </c>
      <c r="H366" s="343">
        <f t="shared" si="26"/>
        <v>824.3</v>
      </c>
      <c r="I366" s="218"/>
    </row>
    <row r="367" spans="1:11" s="217" customFormat="1" ht="31.5" x14ac:dyDescent="0.25">
      <c r="A367" s="223" t="s">
        <v>1444</v>
      </c>
      <c r="B367" s="337">
        <v>903</v>
      </c>
      <c r="C367" s="341" t="s">
        <v>315</v>
      </c>
      <c r="D367" s="341" t="s">
        <v>134</v>
      </c>
      <c r="E367" s="341" t="s">
        <v>1441</v>
      </c>
      <c r="F367" s="341"/>
      <c r="G367" s="339">
        <f t="shared" ref="G367:H369" si="30">G368</f>
        <v>2296.558</v>
      </c>
      <c r="H367" s="339">
        <f t="shared" si="30"/>
        <v>0</v>
      </c>
      <c r="I367" s="218"/>
    </row>
    <row r="368" spans="1:11" s="217" customFormat="1" ht="15.75" x14ac:dyDescent="0.25">
      <c r="A368" s="99" t="s">
        <v>1466</v>
      </c>
      <c r="B368" s="336">
        <v>903</v>
      </c>
      <c r="C368" s="338" t="s">
        <v>315</v>
      </c>
      <c r="D368" s="338" t="s">
        <v>134</v>
      </c>
      <c r="E368" s="338" t="s">
        <v>1442</v>
      </c>
      <c r="F368" s="338"/>
      <c r="G368" s="343">
        <f t="shared" si="30"/>
        <v>2296.558</v>
      </c>
      <c r="H368" s="343">
        <f t="shared" si="30"/>
        <v>0</v>
      </c>
      <c r="I368" s="218"/>
    </row>
    <row r="369" spans="1:9" s="217" customFormat="1" ht="31.5" x14ac:dyDescent="0.25">
      <c r="A369" s="342" t="s">
        <v>147</v>
      </c>
      <c r="B369" s="336">
        <v>903</v>
      </c>
      <c r="C369" s="338" t="s">
        <v>315</v>
      </c>
      <c r="D369" s="338" t="s">
        <v>134</v>
      </c>
      <c r="E369" s="338" t="s">
        <v>1442</v>
      </c>
      <c r="F369" s="338" t="s">
        <v>148</v>
      </c>
      <c r="G369" s="343">
        <f>G370</f>
        <v>2296.558</v>
      </c>
      <c r="H369" s="343">
        <f t="shared" si="30"/>
        <v>0</v>
      </c>
      <c r="I369" s="218"/>
    </row>
    <row r="370" spans="1:9" s="217" customFormat="1" ht="31.5" x14ac:dyDescent="0.25">
      <c r="A370" s="342" t="s">
        <v>149</v>
      </c>
      <c r="B370" s="336">
        <v>903</v>
      </c>
      <c r="C370" s="338" t="s">
        <v>315</v>
      </c>
      <c r="D370" s="338" t="s">
        <v>134</v>
      </c>
      <c r="E370" s="338" t="s">
        <v>1442</v>
      </c>
      <c r="F370" s="338" t="s">
        <v>150</v>
      </c>
      <c r="G370" s="343">
        <f>2202.4+22.246+71.912</f>
        <v>2296.558</v>
      </c>
      <c r="H370" s="343">
        <v>0</v>
      </c>
      <c r="I370" s="218"/>
    </row>
    <row r="371" spans="1:9" ht="31.5" x14ac:dyDescent="0.25">
      <c r="A371" s="340" t="s">
        <v>1428</v>
      </c>
      <c r="B371" s="337">
        <v>903</v>
      </c>
      <c r="C371" s="341" t="s">
        <v>315</v>
      </c>
      <c r="D371" s="341" t="s">
        <v>134</v>
      </c>
      <c r="E371" s="341" t="s">
        <v>329</v>
      </c>
      <c r="F371" s="341"/>
      <c r="G371" s="339">
        <f>G372+G380+G388+G395+G384</f>
        <v>24393.454000000002</v>
      </c>
      <c r="H371" s="339">
        <f>H372+H380+H388+H395+H384</f>
        <v>24415.7</v>
      </c>
      <c r="I371" s="218"/>
    </row>
    <row r="372" spans="1:9" ht="36.75" customHeight="1" x14ac:dyDescent="0.25">
      <c r="A372" s="340" t="s">
        <v>956</v>
      </c>
      <c r="B372" s="337">
        <v>903</v>
      </c>
      <c r="C372" s="341" t="s">
        <v>315</v>
      </c>
      <c r="D372" s="341" t="s">
        <v>134</v>
      </c>
      <c r="E372" s="341" t="s">
        <v>960</v>
      </c>
      <c r="F372" s="341"/>
      <c r="G372" s="339">
        <f>G373</f>
        <v>22194</v>
      </c>
      <c r="H372" s="339">
        <f>H373</f>
        <v>22194</v>
      </c>
      <c r="I372" s="218"/>
    </row>
    <row r="373" spans="1:9" ht="15.75" x14ac:dyDescent="0.25">
      <c r="A373" s="342" t="s">
        <v>832</v>
      </c>
      <c r="B373" s="336">
        <v>903</v>
      </c>
      <c r="C373" s="338" t="s">
        <v>315</v>
      </c>
      <c r="D373" s="338" t="s">
        <v>134</v>
      </c>
      <c r="E373" s="338" t="s">
        <v>961</v>
      </c>
      <c r="F373" s="338"/>
      <c r="G373" s="343">
        <f>G374+G376+G378</f>
        <v>22194</v>
      </c>
      <c r="H373" s="343">
        <f>H374+H376+H378</f>
        <v>22194</v>
      </c>
      <c r="I373" s="218"/>
    </row>
    <row r="374" spans="1:9" ht="78.75" x14ac:dyDescent="0.25">
      <c r="A374" s="342" t="s">
        <v>143</v>
      </c>
      <c r="B374" s="336">
        <v>903</v>
      </c>
      <c r="C374" s="338" t="s">
        <v>315</v>
      </c>
      <c r="D374" s="338" t="s">
        <v>134</v>
      </c>
      <c r="E374" s="338" t="s">
        <v>961</v>
      </c>
      <c r="F374" s="338" t="s">
        <v>144</v>
      </c>
      <c r="G374" s="343">
        <f>G375</f>
        <v>19218</v>
      </c>
      <c r="H374" s="343">
        <f t="shared" si="26"/>
        <v>19218</v>
      </c>
      <c r="I374" s="218"/>
    </row>
    <row r="375" spans="1:9" ht="15.75" x14ac:dyDescent="0.25">
      <c r="A375" s="342" t="s">
        <v>224</v>
      </c>
      <c r="B375" s="336">
        <v>903</v>
      </c>
      <c r="C375" s="338" t="s">
        <v>315</v>
      </c>
      <c r="D375" s="338" t="s">
        <v>134</v>
      </c>
      <c r="E375" s="338" t="s">
        <v>961</v>
      </c>
      <c r="F375" s="338" t="s">
        <v>225</v>
      </c>
      <c r="G375" s="343">
        <f>19218</f>
        <v>19218</v>
      </c>
      <c r="H375" s="343">
        <f t="shared" si="26"/>
        <v>19218</v>
      </c>
      <c r="I375" s="218"/>
    </row>
    <row r="376" spans="1:9" ht="31.5" x14ac:dyDescent="0.25">
      <c r="A376" s="342" t="s">
        <v>147</v>
      </c>
      <c r="B376" s="336">
        <v>903</v>
      </c>
      <c r="C376" s="338" t="s">
        <v>315</v>
      </c>
      <c r="D376" s="338" t="s">
        <v>134</v>
      </c>
      <c r="E376" s="338" t="s">
        <v>961</v>
      </c>
      <c r="F376" s="338" t="s">
        <v>148</v>
      </c>
      <c r="G376" s="343">
        <f>G377</f>
        <v>2950</v>
      </c>
      <c r="H376" s="343">
        <f t="shared" si="26"/>
        <v>2950</v>
      </c>
      <c r="I376" s="218"/>
    </row>
    <row r="377" spans="1:9" ht="31.5" x14ac:dyDescent="0.25">
      <c r="A377" s="342" t="s">
        <v>149</v>
      </c>
      <c r="B377" s="336">
        <v>903</v>
      </c>
      <c r="C377" s="338" t="s">
        <v>315</v>
      </c>
      <c r="D377" s="338" t="s">
        <v>134</v>
      </c>
      <c r="E377" s="338" t="s">
        <v>961</v>
      </c>
      <c r="F377" s="338" t="s">
        <v>150</v>
      </c>
      <c r="G377" s="343">
        <f>2950</f>
        <v>2950</v>
      </c>
      <c r="H377" s="343">
        <f t="shared" si="26"/>
        <v>2950</v>
      </c>
      <c r="I377" s="218"/>
    </row>
    <row r="378" spans="1:9" ht="15.75" x14ac:dyDescent="0.25">
      <c r="A378" s="342" t="s">
        <v>151</v>
      </c>
      <c r="B378" s="336">
        <v>903</v>
      </c>
      <c r="C378" s="338" t="s">
        <v>315</v>
      </c>
      <c r="D378" s="338" t="s">
        <v>134</v>
      </c>
      <c r="E378" s="338" t="s">
        <v>961</v>
      </c>
      <c r="F378" s="338" t="s">
        <v>161</v>
      </c>
      <c r="G378" s="343">
        <f>G379</f>
        <v>26</v>
      </c>
      <c r="H378" s="343">
        <f t="shared" si="26"/>
        <v>26</v>
      </c>
      <c r="I378" s="218"/>
    </row>
    <row r="379" spans="1:9" ht="15.75" x14ac:dyDescent="0.25">
      <c r="A379" s="342" t="s">
        <v>584</v>
      </c>
      <c r="B379" s="336">
        <v>903</v>
      </c>
      <c r="C379" s="338" t="s">
        <v>315</v>
      </c>
      <c r="D379" s="338" t="s">
        <v>134</v>
      </c>
      <c r="E379" s="338" t="s">
        <v>961</v>
      </c>
      <c r="F379" s="338" t="s">
        <v>154</v>
      </c>
      <c r="G379" s="343">
        <f>26</f>
        <v>26</v>
      </c>
      <c r="H379" s="343">
        <f t="shared" si="26"/>
        <v>26</v>
      </c>
      <c r="I379" s="218"/>
    </row>
    <row r="380" spans="1:9" ht="31.5" x14ac:dyDescent="0.25">
      <c r="A380" s="340" t="s">
        <v>973</v>
      </c>
      <c r="B380" s="337">
        <v>903</v>
      </c>
      <c r="C380" s="341" t="s">
        <v>315</v>
      </c>
      <c r="D380" s="341" t="s">
        <v>134</v>
      </c>
      <c r="E380" s="341" t="s">
        <v>962</v>
      </c>
      <c r="F380" s="341"/>
      <c r="G380" s="339">
        <f t="shared" ref="G380:H382" si="31">G381</f>
        <v>27.754000000000001</v>
      </c>
      <c r="H380" s="339">
        <f t="shared" si="31"/>
        <v>50</v>
      </c>
      <c r="I380" s="218"/>
    </row>
    <row r="381" spans="1:9" ht="31.5" x14ac:dyDescent="0.25">
      <c r="A381" s="342" t="s">
        <v>866</v>
      </c>
      <c r="B381" s="336">
        <v>903</v>
      </c>
      <c r="C381" s="338" t="s">
        <v>315</v>
      </c>
      <c r="D381" s="338" t="s">
        <v>134</v>
      </c>
      <c r="E381" s="338" t="s">
        <v>963</v>
      </c>
      <c r="F381" s="338"/>
      <c r="G381" s="343">
        <f t="shared" si="31"/>
        <v>27.754000000000001</v>
      </c>
      <c r="H381" s="343">
        <f t="shared" si="31"/>
        <v>50</v>
      </c>
      <c r="I381" s="218"/>
    </row>
    <row r="382" spans="1:9" ht="31.5" x14ac:dyDescent="0.25">
      <c r="A382" s="342" t="s">
        <v>147</v>
      </c>
      <c r="B382" s="336">
        <v>903</v>
      </c>
      <c r="C382" s="338" t="s">
        <v>315</v>
      </c>
      <c r="D382" s="338" t="s">
        <v>134</v>
      </c>
      <c r="E382" s="338" t="s">
        <v>963</v>
      </c>
      <c r="F382" s="338" t="s">
        <v>148</v>
      </c>
      <c r="G382" s="343">
        <f t="shared" si="31"/>
        <v>27.754000000000001</v>
      </c>
      <c r="H382" s="343">
        <f t="shared" si="31"/>
        <v>50</v>
      </c>
      <c r="I382" s="218"/>
    </row>
    <row r="383" spans="1:9" ht="31.5" x14ac:dyDescent="0.25">
      <c r="A383" s="342" t="s">
        <v>149</v>
      </c>
      <c r="B383" s="336">
        <v>903</v>
      </c>
      <c r="C383" s="338" t="s">
        <v>315</v>
      </c>
      <c r="D383" s="338" t="s">
        <v>134</v>
      </c>
      <c r="E383" s="338" t="s">
        <v>963</v>
      </c>
      <c r="F383" s="338" t="s">
        <v>150</v>
      </c>
      <c r="G383" s="343">
        <f>50-22.246</f>
        <v>27.754000000000001</v>
      </c>
      <c r="H383" s="343">
        <v>50</v>
      </c>
      <c r="I383" s="218"/>
    </row>
    <row r="384" spans="1:9" ht="31.5" x14ac:dyDescent="0.25">
      <c r="A384" s="340" t="s">
        <v>1076</v>
      </c>
      <c r="B384" s="337">
        <v>903</v>
      </c>
      <c r="C384" s="341" t="s">
        <v>315</v>
      </c>
      <c r="D384" s="341" t="s">
        <v>134</v>
      </c>
      <c r="E384" s="341" t="s">
        <v>964</v>
      </c>
      <c r="F384" s="341"/>
      <c r="G384" s="339">
        <f t="shared" ref="G384:H386" si="32">G385</f>
        <v>507</v>
      </c>
      <c r="H384" s="339">
        <f t="shared" si="32"/>
        <v>507</v>
      </c>
      <c r="I384" s="218"/>
    </row>
    <row r="385" spans="1:11" ht="47.25" x14ac:dyDescent="0.25">
      <c r="A385" s="342" t="s">
        <v>885</v>
      </c>
      <c r="B385" s="336">
        <v>903</v>
      </c>
      <c r="C385" s="338" t="s">
        <v>315</v>
      </c>
      <c r="D385" s="338" t="s">
        <v>134</v>
      </c>
      <c r="E385" s="338" t="s">
        <v>1252</v>
      </c>
      <c r="F385" s="338"/>
      <c r="G385" s="343">
        <f t="shared" si="32"/>
        <v>507</v>
      </c>
      <c r="H385" s="343">
        <f t="shared" si="32"/>
        <v>507</v>
      </c>
      <c r="I385" s="218"/>
    </row>
    <row r="386" spans="1:11" ht="78.75" x14ac:dyDescent="0.25">
      <c r="A386" s="342" t="s">
        <v>143</v>
      </c>
      <c r="B386" s="336">
        <v>903</v>
      </c>
      <c r="C386" s="338" t="s">
        <v>315</v>
      </c>
      <c r="D386" s="338" t="s">
        <v>134</v>
      </c>
      <c r="E386" s="338" t="s">
        <v>1252</v>
      </c>
      <c r="F386" s="338" t="s">
        <v>144</v>
      </c>
      <c r="G386" s="343">
        <f t="shared" si="32"/>
        <v>507</v>
      </c>
      <c r="H386" s="343">
        <f t="shared" si="32"/>
        <v>507</v>
      </c>
      <c r="I386" s="218"/>
    </row>
    <row r="387" spans="1:11" ht="15.75" x14ac:dyDescent="0.25">
      <c r="A387" s="342" t="s">
        <v>224</v>
      </c>
      <c r="B387" s="336">
        <v>903</v>
      </c>
      <c r="C387" s="338" t="s">
        <v>315</v>
      </c>
      <c r="D387" s="338" t="s">
        <v>134</v>
      </c>
      <c r="E387" s="338" t="s">
        <v>1252</v>
      </c>
      <c r="F387" s="338" t="s">
        <v>225</v>
      </c>
      <c r="G387" s="343">
        <f>507</f>
        <v>507</v>
      </c>
      <c r="H387" s="343">
        <f t="shared" si="26"/>
        <v>507</v>
      </c>
      <c r="I387" s="218"/>
    </row>
    <row r="388" spans="1:11" ht="31.5" x14ac:dyDescent="0.25">
      <c r="A388" s="340" t="s">
        <v>1163</v>
      </c>
      <c r="B388" s="337">
        <v>903</v>
      </c>
      <c r="C388" s="341" t="s">
        <v>315</v>
      </c>
      <c r="D388" s="341" t="s">
        <v>134</v>
      </c>
      <c r="E388" s="341" t="s">
        <v>965</v>
      </c>
      <c r="F388" s="341"/>
      <c r="G388" s="339">
        <f>G389+G392</f>
        <v>68.7</v>
      </c>
      <c r="H388" s="339">
        <f>H389+H392</f>
        <v>68.7</v>
      </c>
      <c r="I388" s="218"/>
    </row>
    <row r="389" spans="1:11" ht="15.75" x14ac:dyDescent="0.25">
      <c r="A389" s="342" t="s">
        <v>345</v>
      </c>
      <c r="B389" s="336">
        <v>903</v>
      </c>
      <c r="C389" s="338" t="s">
        <v>315</v>
      </c>
      <c r="D389" s="338" t="s">
        <v>134</v>
      </c>
      <c r="E389" s="338" t="s">
        <v>1253</v>
      </c>
      <c r="F389" s="338"/>
      <c r="G389" s="343">
        <f>G390</f>
        <v>3.5</v>
      </c>
      <c r="H389" s="343">
        <f>H390</f>
        <v>3.5</v>
      </c>
      <c r="I389" s="218"/>
    </row>
    <row r="390" spans="1:11" ht="31.5" x14ac:dyDescent="0.25">
      <c r="A390" s="342" t="s">
        <v>147</v>
      </c>
      <c r="B390" s="336">
        <v>903</v>
      </c>
      <c r="C390" s="338" t="s">
        <v>315</v>
      </c>
      <c r="D390" s="338" t="s">
        <v>134</v>
      </c>
      <c r="E390" s="338" t="s">
        <v>1253</v>
      </c>
      <c r="F390" s="338" t="s">
        <v>148</v>
      </c>
      <c r="G390" s="343">
        <f>G391</f>
        <v>3.5</v>
      </c>
      <c r="H390" s="343">
        <f>H391</f>
        <v>3.5</v>
      </c>
      <c r="I390" s="218"/>
    </row>
    <row r="391" spans="1:11" ht="31.5" x14ac:dyDescent="0.25">
      <c r="A391" s="342" t="s">
        <v>149</v>
      </c>
      <c r="B391" s="336">
        <v>903</v>
      </c>
      <c r="C391" s="338" t="s">
        <v>315</v>
      </c>
      <c r="D391" s="338" t="s">
        <v>134</v>
      </c>
      <c r="E391" s="338" t="s">
        <v>1253</v>
      </c>
      <c r="F391" s="338" t="s">
        <v>150</v>
      </c>
      <c r="G391" s="343">
        <f>3.5</f>
        <v>3.5</v>
      </c>
      <c r="H391" s="343">
        <f t="shared" si="26"/>
        <v>3.5</v>
      </c>
      <c r="I391" s="218"/>
    </row>
    <row r="392" spans="1:11" ht="15.75" x14ac:dyDescent="0.25">
      <c r="A392" s="342" t="s">
        <v>345</v>
      </c>
      <c r="B392" s="336">
        <v>903</v>
      </c>
      <c r="C392" s="338" t="s">
        <v>315</v>
      </c>
      <c r="D392" s="338" t="s">
        <v>134</v>
      </c>
      <c r="E392" s="338" t="s">
        <v>1254</v>
      </c>
      <c r="F392" s="338"/>
      <c r="G392" s="343">
        <f>G393</f>
        <v>65.2</v>
      </c>
      <c r="H392" s="343">
        <f>H393</f>
        <v>65.2</v>
      </c>
      <c r="I392" s="218"/>
    </row>
    <row r="393" spans="1:11" ht="31.5" x14ac:dyDescent="0.25">
      <c r="A393" s="342" t="s">
        <v>147</v>
      </c>
      <c r="B393" s="336">
        <v>903</v>
      </c>
      <c r="C393" s="338" t="s">
        <v>315</v>
      </c>
      <c r="D393" s="338" t="s">
        <v>134</v>
      </c>
      <c r="E393" s="338" t="s">
        <v>1254</v>
      </c>
      <c r="F393" s="338" t="s">
        <v>148</v>
      </c>
      <c r="G393" s="343">
        <f>G394</f>
        <v>65.2</v>
      </c>
      <c r="H393" s="343">
        <f>H394</f>
        <v>65.2</v>
      </c>
      <c r="I393" s="218"/>
    </row>
    <row r="394" spans="1:11" ht="31.5" x14ac:dyDescent="0.25">
      <c r="A394" s="342" t="s">
        <v>149</v>
      </c>
      <c r="B394" s="336">
        <v>903</v>
      </c>
      <c r="C394" s="338" t="s">
        <v>315</v>
      </c>
      <c r="D394" s="338" t="s">
        <v>134</v>
      </c>
      <c r="E394" s="338" t="s">
        <v>1254</v>
      </c>
      <c r="F394" s="38">
        <v>240</v>
      </c>
      <c r="G394" s="343">
        <f>65.2</f>
        <v>65.2</v>
      </c>
      <c r="H394" s="343">
        <f t="shared" si="26"/>
        <v>65.2</v>
      </c>
      <c r="I394" s="218"/>
    </row>
    <row r="395" spans="1:11" ht="47.25" x14ac:dyDescent="0.25">
      <c r="A395" s="230" t="s">
        <v>971</v>
      </c>
      <c r="B395" s="337">
        <v>903</v>
      </c>
      <c r="C395" s="341" t="s">
        <v>315</v>
      </c>
      <c r="D395" s="341" t="s">
        <v>134</v>
      </c>
      <c r="E395" s="341" t="s">
        <v>1255</v>
      </c>
      <c r="F395" s="341"/>
      <c r="G395" s="339">
        <f>G399+G402+G396</f>
        <v>1596</v>
      </c>
      <c r="H395" s="339">
        <f>H399+H402+H396</f>
        <v>1596</v>
      </c>
      <c r="I395" s="218"/>
    </row>
    <row r="396" spans="1:11" s="331" customFormat="1" ht="94.5" x14ac:dyDescent="0.25">
      <c r="A396" s="31" t="s">
        <v>309</v>
      </c>
      <c r="B396" s="336">
        <v>903</v>
      </c>
      <c r="C396" s="338" t="s">
        <v>315</v>
      </c>
      <c r="D396" s="338" t="s">
        <v>134</v>
      </c>
      <c r="E396" s="338" t="s">
        <v>1524</v>
      </c>
      <c r="F396" s="338"/>
      <c r="G396" s="343">
        <f>G397</f>
        <v>1276.3</v>
      </c>
      <c r="H396" s="343">
        <f t="shared" ref="H396:K397" si="33">H397</f>
        <v>1276.3</v>
      </c>
      <c r="I396" s="343">
        <f t="shared" si="33"/>
        <v>0</v>
      </c>
      <c r="J396" s="343">
        <f t="shared" si="33"/>
        <v>0</v>
      </c>
      <c r="K396" s="343">
        <f t="shared" si="33"/>
        <v>0</v>
      </c>
    </row>
    <row r="397" spans="1:11" s="331" customFormat="1" ht="78.75" x14ac:dyDescent="0.25">
      <c r="A397" s="342" t="s">
        <v>143</v>
      </c>
      <c r="B397" s="336">
        <v>903</v>
      </c>
      <c r="C397" s="338" t="s">
        <v>315</v>
      </c>
      <c r="D397" s="338" t="s">
        <v>134</v>
      </c>
      <c r="E397" s="338" t="s">
        <v>1524</v>
      </c>
      <c r="F397" s="338" t="s">
        <v>144</v>
      </c>
      <c r="G397" s="343">
        <f>G398</f>
        <v>1276.3</v>
      </c>
      <c r="H397" s="343">
        <f t="shared" si="33"/>
        <v>1276.3</v>
      </c>
      <c r="I397" s="343">
        <f t="shared" si="33"/>
        <v>0</v>
      </c>
      <c r="J397" s="343">
        <f t="shared" si="33"/>
        <v>0</v>
      </c>
      <c r="K397" s="343">
        <f t="shared" si="33"/>
        <v>0</v>
      </c>
    </row>
    <row r="398" spans="1:11" s="331" customFormat="1" ht="15.75" x14ac:dyDescent="0.25">
      <c r="A398" s="342" t="s">
        <v>224</v>
      </c>
      <c r="B398" s="336">
        <v>903</v>
      </c>
      <c r="C398" s="338" t="s">
        <v>315</v>
      </c>
      <c r="D398" s="338" t="s">
        <v>134</v>
      </c>
      <c r="E398" s="338" t="s">
        <v>1524</v>
      </c>
      <c r="F398" s="338" t="s">
        <v>225</v>
      </c>
      <c r="G398" s="343">
        <v>1276.3</v>
      </c>
      <c r="H398" s="343">
        <v>1276.3</v>
      </c>
      <c r="I398" s="332"/>
    </row>
    <row r="399" spans="1:11" ht="78.75" x14ac:dyDescent="0.25">
      <c r="A399" s="342" t="s">
        <v>347</v>
      </c>
      <c r="B399" s="336">
        <v>903</v>
      </c>
      <c r="C399" s="338" t="s">
        <v>315</v>
      </c>
      <c r="D399" s="338" t="s">
        <v>134</v>
      </c>
      <c r="E399" s="338" t="s">
        <v>1256</v>
      </c>
      <c r="F399" s="338"/>
      <c r="G399" s="343">
        <f>G400</f>
        <v>319.7</v>
      </c>
      <c r="H399" s="343">
        <f>H400</f>
        <v>319.7</v>
      </c>
      <c r="I399" s="218"/>
    </row>
    <row r="400" spans="1:11" ht="78.75" x14ac:dyDescent="0.25">
      <c r="A400" s="342" t="s">
        <v>143</v>
      </c>
      <c r="B400" s="336">
        <v>903</v>
      </c>
      <c r="C400" s="338" t="s">
        <v>315</v>
      </c>
      <c r="D400" s="338" t="s">
        <v>134</v>
      </c>
      <c r="E400" s="338" t="s">
        <v>1256</v>
      </c>
      <c r="F400" s="338" t="s">
        <v>144</v>
      </c>
      <c r="G400" s="343">
        <f>G401</f>
        <v>319.7</v>
      </c>
      <c r="H400" s="343">
        <f>H401</f>
        <v>319.7</v>
      </c>
      <c r="I400" s="218"/>
    </row>
    <row r="401" spans="1:9" ht="15.75" x14ac:dyDescent="0.25">
      <c r="A401" s="342" t="s">
        <v>224</v>
      </c>
      <c r="B401" s="336">
        <v>903</v>
      </c>
      <c r="C401" s="338" t="s">
        <v>315</v>
      </c>
      <c r="D401" s="338" t="s">
        <v>134</v>
      </c>
      <c r="E401" s="338" t="s">
        <v>1256</v>
      </c>
      <c r="F401" s="338" t="s">
        <v>225</v>
      </c>
      <c r="G401" s="343">
        <f>319.7</f>
        <v>319.7</v>
      </c>
      <c r="H401" s="343">
        <f t="shared" si="26"/>
        <v>319.7</v>
      </c>
      <c r="I401" s="218"/>
    </row>
    <row r="402" spans="1:9" ht="94.5" hidden="1" x14ac:dyDescent="0.25">
      <c r="A402" s="31" t="s">
        <v>309</v>
      </c>
      <c r="B402" s="336">
        <v>903</v>
      </c>
      <c r="C402" s="338" t="s">
        <v>315</v>
      </c>
      <c r="D402" s="338" t="s">
        <v>134</v>
      </c>
      <c r="E402" s="338" t="s">
        <v>1257</v>
      </c>
      <c r="F402" s="338"/>
      <c r="G402" s="343">
        <f>G403</f>
        <v>0</v>
      </c>
      <c r="H402" s="343">
        <f>H403</f>
        <v>0</v>
      </c>
      <c r="I402" s="218"/>
    </row>
    <row r="403" spans="1:9" ht="78.75" hidden="1" x14ac:dyDescent="0.25">
      <c r="A403" s="342" t="s">
        <v>143</v>
      </c>
      <c r="B403" s="336">
        <v>903</v>
      </c>
      <c r="C403" s="338" t="s">
        <v>315</v>
      </c>
      <c r="D403" s="338" t="s">
        <v>134</v>
      </c>
      <c r="E403" s="338" t="s">
        <v>1257</v>
      </c>
      <c r="F403" s="338" t="s">
        <v>144</v>
      </c>
      <c r="G403" s="343">
        <f>G404</f>
        <v>0</v>
      </c>
      <c r="H403" s="343">
        <f>H404</f>
        <v>0</v>
      </c>
      <c r="I403" s="218"/>
    </row>
    <row r="404" spans="1:9" ht="15.75" hidden="1" x14ac:dyDescent="0.25">
      <c r="A404" s="342" t="s">
        <v>224</v>
      </c>
      <c r="B404" s="336">
        <v>903</v>
      </c>
      <c r="C404" s="338" t="s">
        <v>315</v>
      </c>
      <c r="D404" s="338" t="s">
        <v>134</v>
      </c>
      <c r="E404" s="338" t="s">
        <v>1257</v>
      </c>
      <c r="F404" s="338" t="s">
        <v>225</v>
      </c>
      <c r="G404" s="343"/>
      <c r="H404" s="343">
        <f t="shared" si="26"/>
        <v>0</v>
      </c>
      <c r="I404" s="277">
        <f>12177.1/11326*1000</f>
        <v>1075.1456825004416</v>
      </c>
    </row>
    <row r="405" spans="1:9" ht="63" hidden="1" x14ac:dyDescent="0.25">
      <c r="A405" s="34" t="s">
        <v>805</v>
      </c>
      <c r="B405" s="337">
        <v>903</v>
      </c>
      <c r="C405" s="341" t="s">
        <v>315</v>
      </c>
      <c r="D405" s="341" t="s">
        <v>134</v>
      </c>
      <c r="E405" s="341" t="s">
        <v>340</v>
      </c>
      <c r="F405" s="341"/>
      <c r="G405" s="339">
        <f>G407</f>
        <v>0</v>
      </c>
      <c r="H405" s="339">
        <f>H407</f>
        <v>0</v>
      </c>
      <c r="I405" s="218"/>
    </row>
    <row r="406" spans="1:9" ht="63" hidden="1" x14ac:dyDescent="0.25">
      <c r="A406" s="34" t="s">
        <v>1191</v>
      </c>
      <c r="B406" s="337">
        <v>903</v>
      </c>
      <c r="C406" s="341" t="s">
        <v>315</v>
      </c>
      <c r="D406" s="341" t="s">
        <v>134</v>
      </c>
      <c r="E406" s="341" t="s">
        <v>1025</v>
      </c>
      <c r="F406" s="341"/>
      <c r="G406" s="339">
        <f>G409</f>
        <v>0</v>
      </c>
      <c r="H406" s="339">
        <f>H409</f>
        <v>0</v>
      </c>
      <c r="I406" s="218"/>
    </row>
    <row r="407" spans="1:9" ht="47.25" hidden="1" x14ac:dyDescent="0.25">
      <c r="A407" s="31" t="s">
        <v>1273</v>
      </c>
      <c r="B407" s="336">
        <v>903</v>
      </c>
      <c r="C407" s="338" t="s">
        <v>315</v>
      </c>
      <c r="D407" s="338" t="s">
        <v>134</v>
      </c>
      <c r="E407" s="338" t="s">
        <v>1192</v>
      </c>
      <c r="F407" s="338"/>
      <c r="G407" s="343">
        <f>G408</f>
        <v>0</v>
      </c>
      <c r="H407" s="343">
        <f>H408</f>
        <v>0</v>
      </c>
      <c r="I407" s="218"/>
    </row>
    <row r="408" spans="1:9" ht="31.5" hidden="1" x14ac:dyDescent="0.25">
      <c r="A408" s="342" t="s">
        <v>147</v>
      </c>
      <c r="B408" s="336">
        <v>903</v>
      </c>
      <c r="C408" s="338" t="s">
        <v>315</v>
      </c>
      <c r="D408" s="338" t="s">
        <v>134</v>
      </c>
      <c r="E408" s="338" t="s">
        <v>1192</v>
      </c>
      <c r="F408" s="338" t="s">
        <v>148</v>
      </c>
      <c r="G408" s="343">
        <f>G409</f>
        <v>0</v>
      </c>
      <c r="H408" s="343">
        <f>H409</f>
        <v>0</v>
      </c>
      <c r="I408" s="218"/>
    </row>
    <row r="409" spans="1:9" ht="31.5" hidden="1" x14ac:dyDescent="0.25">
      <c r="A409" s="342" t="s">
        <v>149</v>
      </c>
      <c r="B409" s="336">
        <v>903</v>
      </c>
      <c r="C409" s="338" t="s">
        <v>315</v>
      </c>
      <c r="D409" s="338" t="s">
        <v>134</v>
      </c>
      <c r="E409" s="338" t="s">
        <v>1192</v>
      </c>
      <c r="F409" s="338" t="s">
        <v>150</v>
      </c>
      <c r="G409" s="343">
        <v>0</v>
      </c>
      <c r="H409" s="343">
        <v>0</v>
      </c>
      <c r="I409" s="218"/>
    </row>
    <row r="410" spans="1:9" ht="63" x14ac:dyDescent="0.25">
      <c r="A410" s="41" t="s">
        <v>1425</v>
      </c>
      <c r="B410" s="337">
        <v>903</v>
      </c>
      <c r="C410" s="341" t="s">
        <v>315</v>
      </c>
      <c r="D410" s="341" t="s">
        <v>134</v>
      </c>
      <c r="E410" s="341" t="s">
        <v>728</v>
      </c>
      <c r="F410" s="235"/>
      <c r="G410" s="339">
        <f t="shared" ref="G410:H413" si="34">G411</f>
        <v>793.2</v>
      </c>
      <c r="H410" s="339">
        <f t="shared" si="34"/>
        <v>793.2</v>
      </c>
      <c r="I410" s="218"/>
    </row>
    <row r="411" spans="1:9" ht="47.25" x14ac:dyDescent="0.25">
      <c r="A411" s="41" t="s">
        <v>949</v>
      </c>
      <c r="B411" s="337">
        <v>903</v>
      </c>
      <c r="C411" s="341" t="s">
        <v>315</v>
      </c>
      <c r="D411" s="341" t="s">
        <v>134</v>
      </c>
      <c r="E411" s="341" t="s">
        <v>947</v>
      </c>
      <c r="F411" s="235"/>
      <c r="G411" s="339">
        <f t="shared" si="34"/>
        <v>793.2</v>
      </c>
      <c r="H411" s="339">
        <f t="shared" si="34"/>
        <v>793.2</v>
      </c>
      <c r="I411" s="218"/>
    </row>
    <row r="412" spans="1:9" ht="47.25" x14ac:dyDescent="0.25">
      <c r="A412" s="99" t="s">
        <v>1187</v>
      </c>
      <c r="B412" s="336">
        <v>903</v>
      </c>
      <c r="C412" s="338" t="s">
        <v>315</v>
      </c>
      <c r="D412" s="338" t="s">
        <v>134</v>
      </c>
      <c r="E412" s="338" t="s">
        <v>948</v>
      </c>
      <c r="F412" s="32"/>
      <c r="G412" s="343">
        <f t="shared" si="34"/>
        <v>793.2</v>
      </c>
      <c r="H412" s="343">
        <f t="shared" si="34"/>
        <v>793.2</v>
      </c>
      <c r="I412" s="218"/>
    </row>
    <row r="413" spans="1:9" ht="31.5" x14ac:dyDescent="0.25">
      <c r="A413" s="342" t="s">
        <v>147</v>
      </c>
      <c r="B413" s="336">
        <v>903</v>
      </c>
      <c r="C413" s="338" t="s">
        <v>315</v>
      </c>
      <c r="D413" s="338" t="s">
        <v>134</v>
      </c>
      <c r="E413" s="338" t="s">
        <v>948</v>
      </c>
      <c r="F413" s="32" t="s">
        <v>148</v>
      </c>
      <c r="G413" s="343">
        <f t="shared" si="34"/>
        <v>793.2</v>
      </c>
      <c r="H413" s="343">
        <f t="shared" si="34"/>
        <v>793.2</v>
      </c>
      <c r="I413" s="218"/>
    </row>
    <row r="414" spans="1:9" ht="31.5" x14ac:dyDescent="0.25">
      <c r="A414" s="342" t="s">
        <v>149</v>
      </c>
      <c r="B414" s="336">
        <v>903</v>
      </c>
      <c r="C414" s="338" t="s">
        <v>315</v>
      </c>
      <c r="D414" s="338" t="s">
        <v>134</v>
      </c>
      <c r="E414" s="338" t="s">
        <v>948</v>
      </c>
      <c r="F414" s="32" t="s">
        <v>150</v>
      </c>
      <c r="G414" s="343">
        <f>793.2</f>
        <v>793.2</v>
      </c>
      <c r="H414" s="343">
        <f t="shared" si="26"/>
        <v>793.2</v>
      </c>
      <c r="I414" s="218"/>
    </row>
    <row r="415" spans="1:9" ht="31.5" x14ac:dyDescent="0.25">
      <c r="A415" s="340" t="s">
        <v>349</v>
      </c>
      <c r="B415" s="337">
        <v>903</v>
      </c>
      <c r="C415" s="341" t="s">
        <v>315</v>
      </c>
      <c r="D415" s="341" t="s">
        <v>166</v>
      </c>
      <c r="E415" s="341"/>
      <c r="F415" s="341"/>
      <c r="G415" s="339">
        <f>G416+G426+G438</f>
        <v>17339</v>
      </c>
      <c r="H415" s="339">
        <f>H416+H426+H438</f>
        <v>17339</v>
      </c>
      <c r="I415" s="218"/>
    </row>
    <row r="416" spans="1:9" ht="31.5" x14ac:dyDescent="0.25">
      <c r="A416" s="340" t="s">
        <v>990</v>
      </c>
      <c r="B416" s="337">
        <v>903</v>
      </c>
      <c r="C416" s="341" t="s">
        <v>315</v>
      </c>
      <c r="D416" s="341" t="s">
        <v>166</v>
      </c>
      <c r="E416" s="341" t="s">
        <v>904</v>
      </c>
      <c r="F416" s="341"/>
      <c r="G416" s="339">
        <f>G417</f>
        <v>6870</v>
      </c>
      <c r="H416" s="339">
        <f>H417</f>
        <v>6870</v>
      </c>
      <c r="I416" s="218"/>
    </row>
    <row r="417" spans="1:9" ht="15.75" x14ac:dyDescent="0.25">
      <c r="A417" s="340" t="s">
        <v>991</v>
      </c>
      <c r="B417" s="337">
        <v>903</v>
      </c>
      <c r="C417" s="341" t="s">
        <v>315</v>
      </c>
      <c r="D417" s="341" t="s">
        <v>166</v>
      </c>
      <c r="E417" s="341" t="s">
        <v>905</v>
      </c>
      <c r="F417" s="341"/>
      <c r="G417" s="339">
        <f>G418+G423</f>
        <v>6870</v>
      </c>
      <c r="H417" s="339">
        <f>H418+H423</f>
        <v>6870</v>
      </c>
      <c r="I417" s="218"/>
    </row>
    <row r="418" spans="1:9" ht="31.5" x14ac:dyDescent="0.25">
      <c r="A418" s="342" t="s">
        <v>967</v>
      </c>
      <c r="B418" s="336">
        <v>903</v>
      </c>
      <c r="C418" s="338" t="s">
        <v>315</v>
      </c>
      <c r="D418" s="338" t="s">
        <v>166</v>
      </c>
      <c r="E418" s="338" t="s">
        <v>906</v>
      </c>
      <c r="F418" s="338"/>
      <c r="G418" s="343">
        <f>G419</f>
        <v>6744</v>
      </c>
      <c r="H418" s="343">
        <f>H419</f>
        <v>6744</v>
      </c>
      <c r="I418" s="218"/>
    </row>
    <row r="419" spans="1:9" ht="78.75" x14ac:dyDescent="0.25">
      <c r="A419" s="342" t="s">
        <v>143</v>
      </c>
      <c r="B419" s="336">
        <v>903</v>
      </c>
      <c r="C419" s="338" t="s">
        <v>315</v>
      </c>
      <c r="D419" s="338" t="s">
        <v>166</v>
      </c>
      <c r="E419" s="338" t="s">
        <v>906</v>
      </c>
      <c r="F419" s="338" t="s">
        <v>144</v>
      </c>
      <c r="G419" s="343">
        <f>G420</f>
        <v>6744</v>
      </c>
      <c r="H419" s="343">
        <f>H420</f>
        <v>6744</v>
      </c>
      <c r="I419" s="218"/>
    </row>
    <row r="420" spans="1:9" ht="31.5" x14ac:dyDescent="0.25">
      <c r="A420" s="342" t="s">
        <v>145</v>
      </c>
      <c r="B420" s="336">
        <v>903</v>
      </c>
      <c r="C420" s="338" t="s">
        <v>315</v>
      </c>
      <c r="D420" s="338" t="s">
        <v>166</v>
      </c>
      <c r="E420" s="338" t="s">
        <v>906</v>
      </c>
      <c r="F420" s="338" t="s">
        <v>146</v>
      </c>
      <c r="G420" s="343">
        <f>6744</f>
        <v>6744</v>
      </c>
      <c r="H420" s="343">
        <f t="shared" ref="H420:H503" si="35">G420</f>
        <v>6744</v>
      </c>
      <c r="I420" s="218"/>
    </row>
    <row r="421" spans="1:9" ht="31.5" hidden="1" x14ac:dyDescent="0.25">
      <c r="A421" s="342" t="s">
        <v>147</v>
      </c>
      <c r="B421" s="336">
        <v>903</v>
      </c>
      <c r="C421" s="338" t="s">
        <v>315</v>
      </c>
      <c r="D421" s="338" t="s">
        <v>166</v>
      </c>
      <c r="E421" s="338" t="s">
        <v>906</v>
      </c>
      <c r="F421" s="338" t="s">
        <v>148</v>
      </c>
      <c r="G421" s="343">
        <f>'Пр.4 ведом.20'!G421</f>
        <v>0</v>
      </c>
      <c r="H421" s="343">
        <f t="shared" si="35"/>
        <v>0</v>
      </c>
      <c r="I421" s="218"/>
    </row>
    <row r="422" spans="1:9" ht="31.5" hidden="1" x14ac:dyDescent="0.25">
      <c r="A422" s="342" t="s">
        <v>149</v>
      </c>
      <c r="B422" s="336">
        <v>903</v>
      </c>
      <c r="C422" s="338" t="s">
        <v>315</v>
      </c>
      <c r="D422" s="338" t="s">
        <v>166</v>
      </c>
      <c r="E422" s="338" t="s">
        <v>906</v>
      </c>
      <c r="F422" s="338" t="s">
        <v>150</v>
      </c>
      <c r="G422" s="343">
        <f>'Пр.4 ведом.20'!G422</f>
        <v>0</v>
      </c>
      <c r="H422" s="343">
        <f t="shared" si="35"/>
        <v>0</v>
      </c>
      <c r="I422" s="218"/>
    </row>
    <row r="423" spans="1:9" ht="47.25" x14ac:dyDescent="0.25">
      <c r="A423" s="342" t="s">
        <v>885</v>
      </c>
      <c r="B423" s="336">
        <v>903</v>
      </c>
      <c r="C423" s="338" t="s">
        <v>315</v>
      </c>
      <c r="D423" s="338" t="s">
        <v>166</v>
      </c>
      <c r="E423" s="338" t="s">
        <v>908</v>
      </c>
      <c r="F423" s="338"/>
      <c r="G423" s="343">
        <f>G424</f>
        <v>126</v>
      </c>
      <c r="H423" s="343">
        <f>H424</f>
        <v>126</v>
      </c>
      <c r="I423" s="218"/>
    </row>
    <row r="424" spans="1:9" ht="78.75" x14ac:dyDescent="0.25">
      <c r="A424" s="342" t="s">
        <v>143</v>
      </c>
      <c r="B424" s="336">
        <v>903</v>
      </c>
      <c r="C424" s="338" t="s">
        <v>315</v>
      </c>
      <c r="D424" s="338" t="s">
        <v>166</v>
      </c>
      <c r="E424" s="338" t="s">
        <v>908</v>
      </c>
      <c r="F424" s="338" t="s">
        <v>144</v>
      </c>
      <c r="G424" s="343">
        <f>G425</f>
        <v>126</v>
      </c>
      <c r="H424" s="343">
        <f>H425</f>
        <v>126</v>
      </c>
      <c r="I424" s="218"/>
    </row>
    <row r="425" spans="1:9" ht="31.5" x14ac:dyDescent="0.25">
      <c r="A425" s="342" t="s">
        <v>145</v>
      </c>
      <c r="B425" s="336">
        <v>903</v>
      </c>
      <c r="C425" s="338" t="s">
        <v>315</v>
      </c>
      <c r="D425" s="338" t="s">
        <v>166</v>
      </c>
      <c r="E425" s="338" t="s">
        <v>908</v>
      </c>
      <c r="F425" s="338" t="s">
        <v>146</v>
      </c>
      <c r="G425" s="343">
        <f>126</f>
        <v>126</v>
      </c>
      <c r="H425" s="343">
        <f t="shared" si="35"/>
        <v>126</v>
      </c>
      <c r="I425" s="218"/>
    </row>
    <row r="426" spans="1:9" ht="15.75" x14ac:dyDescent="0.25">
      <c r="A426" s="340" t="s">
        <v>999</v>
      </c>
      <c r="B426" s="337">
        <v>903</v>
      </c>
      <c r="C426" s="341" t="s">
        <v>315</v>
      </c>
      <c r="D426" s="341" t="s">
        <v>166</v>
      </c>
      <c r="E426" s="341" t="s">
        <v>912</v>
      </c>
      <c r="F426" s="341"/>
      <c r="G426" s="339">
        <f>G427</f>
        <v>10209</v>
      </c>
      <c r="H426" s="339">
        <f>H427</f>
        <v>10209</v>
      </c>
      <c r="I426" s="218"/>
    </row>
    <row r="427" spans="1:9" ht="31.5" x14ac:dyDescent="0.25">
      <c r="A427" s="340" t="s">
        <v>1002</v>
      </c>
      <c r="B427" s="337">
        <v>903</v>
      </c>
      <c r="C427" s="341" t="s">
        <v>315</v>
      </c>
      <c r="D427" s="341" t="s">
        <v>166</v>
      </c>
      <c r="E427" s="341" t="s">
        <v>987</v>
      </c>
      <c r="F427" s="341"/>
      <c r="G427" s="339">
        <f>G428+G435</f>
        <v>10209</v>
      </c>
      <c r="H427" s="339">
        <f>H428+H435</f>
        <v>10209</v>
      </c>
      <c r="I427" s="218"/>
    </row>
    <row r="428" spans="1:9" ht="31.5" x14ac:dyDescent="0.25">
      <c r="A428" s="342" t="s">
        <v>974</v>
      </c>
      <c r="B428" s="336">
        <v>903</v>
      </c>
      <c r="C428" s="338" t="s">
        <v>315</v>
      </c>
      <c r="D428" s="338" t="s">
        <v>166</v>
      </c>
      <c r="E428" s="338" t="s">
        <v>988</v>
      </c>
      <c r="F428" s="338"/>
      <c r="G428" s="343">
        <f>G429+G431+G433</f>
        <v>9999</v>
      </c>
      <c r="H428" s="343">
        <f>H429+H431+H433</f>
        <v>9999</v>
      </c>
      <c r="I428" s="218"/>
    </row>
    <row r="429" spans="1:9" ht="78.75" x14ac:dyDescent="0.25">
      <c r="A429" s="342" t="s">
        <v>143</v>
      </c>
      <c r="B429" s="336">
        <v>903</v>
      </c>
      <c r="C429" s="338" t="s">
        <v>315</v>
      </c>
      <c r="D429" s="338" t="s">
        <v>166</v>
      </c>
      <c r="E429" s="338" t="s">
        <v>988</v>
      </c>
      <c r="F429" s="338" t="s">
        <v>144</v>
      </c>
      <c r="G429" s="343">
        <f>G430</f>
        <v>8048</v>
      </c>
      <c r="H429" s="343">
        <f>H430</f>
        <v>8048</v>
      </c>
      <c r="I429" s="218"/>
    </row>
    <row r="430" spans="1:9" ht="31.5" x14ac:dyDescent="0.25">
      <c r="A430" s="342" t="s">
        <v>358</v>
      </c>
      <c r="B430" s="336">
        <v>903</v>
      </c>
      <c r="C430" s="338" t="s">
        <v>315</v>
      </c>
      <c r="D430" s="338" t="s">
        <v>166</v>
      </c>
      <c r="E430" s="338" t="s">
        <v>988</v>
      </c>
      <c r="F430" s="338" t="s">
        <v>225</v>
      </c>
      <c r="G430" s="343">
        <f>8048</f>
        <v>8048</v>
      </c>
      <c r="H430" s="343">
        <f t="shared" si="35"/>
        <v>8048</v>
      </c>
      <c r="I430" s="218"/>
    </row>
    <row r="431" spans="1:9" ht="31.5" x14ac:dyDescent="0.25">
      <c r="A431" s="342" t="s">
        <v>147</v>
      </c>
      <c r="B431" s="336">
        <v>903</v>
      </c>
      <c r="C431" s="338" t="s">
        <v>315</v>
      </c>
      <c r="D431" s="338" t="s">
        <v>166</v>
      </c>
      <c r="E431" s="338" t="s">
        <v>988</v>
      </c>
      <c r="F431" s="338" t="s">
        <v>148</v>
      </c>
      <c r="G431" s="343">
        <f>G432</f>
        <v>1937</v>
      </c>
      <c r="H431" s="343">
        <f>H432</f>
        <v>1937</v>
      </c>
      <c r="I431" s="218"/>
    </row>
    <row r="432" spans="1:9" ht="31.5" x14ac:dyDescent="0.25">
      <c r="A432" s="342" t="s">
        <v>149</v>
      </c>
      <c r="B432" s="336">
        <v>903</v>
      </c>
      <c r="C432" s="338" t="s">
        <v>315</v>
      </c>
      <c r="D432" s="338" t="s">
        <v>166</v>
      </c>
      <c r="E432" s="338" t="s">
        <v>988</v>
      </c>
      <c r="F432" s="338" t="s">
        <v>150</v>
      </c>
      <c r="G432" s="343">
        <f>1937</f>
        <v>1937</v>
      </c>
      <c r="H432" s="343">
        <f t="shared" si="35"/>
        <v>1937</v>
      </c>
      <c r="I432" s="218"/>
    </row>
    <row r="433" spans="1:9" ht="15.75" x14ac:dyDescent="0.25">
      <c r="A433" s="342" t="s">
        <v>151</v>
      </c>
      <c r="B433" s="336">
        <v>903</v>
      </c>
      <c r="C433" s="338" t="s">
        <v>315</v>
      </c>
      <c r="D433" s="338" t="s">
        <v>166</v>
      </c>
      <c r="E433" s="338" t="s">
        <v>988</v>
      </c>
      <c r="F433" s="338" t="s">
        <v>161</v>
      </c>
      <c r="G433" s="343">
        <f>G434</f>
        <v>14</v>
      </c>
      <c r="H433" s="343">
        <f>H434</f>
        <v>14</v>
      </c>
      <c r="I433" s="218"/>
    </row>
    <row r="434" spans="1:9" ht="15.75" x14ac:dyDescent="0.25">
      <c r="A434" s="342" t="s">
        <v>584</v>
      </c>
      <c r="B434" s="336">
        <v>903</v>
      </c>
      <c r="C434" s="338" t="s">
        <v>315</v>
      </c>
      <c r="D434" s="338" t="s">
        <v>166</v>
      </c>
      <c r="E434" s="338" t="s">
        <v>988</v>
      </c>
      <c r="F434" s="338" t="s">
        <v>154</v>
      </c>
      <c r="G434" s="343">
        <f>14</f>
        <v>14</v>
      </c>
      <c r="H434" s="343">
        <f t="shared" si="35"/>
        <v>14</v>
      </c>
      <c r="I434" s="218"/>
    </row>
    <row r="435" spans="1:9" ht="47.25" x14ac:dyDescent="0.25">
      <c r="A435" s="342" t="s">
        <v>885</v>
      </c>
      <c r="B435" s="336">
        <v>903</v>
      </c>
      <c r="C435" s="338" t="s">
        <v>315</v>
      </c>
      <c r="D435" s="338" t="s">
        <v>166</v>
      </c>
      <c r="E435" s="338" t="s">
        <v>989</v>
      </c>
      <c r="F435" s="338"/>
      <c r="G435" s="343">
        <f>G436</f>
        <v>210</v>
      </c>
      <c r="H435" s="343">
        <f>H436</f>
        <v>210</v>
      </c>
      <c r="I435" s="218"/>
    </row>
    <row r="436" spans="1:9" ht="78.75" x14ac:dyDescent="0.25">
      <c r="A436" s="342" t="s">
        <v>143</v>
      </c>
      <c r="B436" s="336">
        <v>903</v>
      </c>
      <c r="C436" s="338" t="s">
        <v>315</v>
      </c>
      <c r="D436" s="338" t="s">
        <v>166</v>
      </c>
      <c r="E436" s="338" t="s">
        <v>989</v>
      </c>
      <c r="F436" s="338" t="s">
        <v>144</v>
      </c>
      <c r="G436" s="343">
        <f>G437</f>
        <v>210</v>
      </c>
      <c r="H436" s="343">
        <f>H437</f>
        <v>210</v>
      </c>
      <c r="I436" s="218"/>
    </row>
    <row r="437" spans="1:9" ht="25.5" customHeight="1" x14ac:dyDescent="0.25">
      <c r="A437" s="342" t="s">
        <v>358</v>
      </c>
      <c r="B437" s="336">
        <v>903</v>
      </c>
      <c r="C437" s="338" t="s">
        <v>315</v>
      </c>
      <c r="D437" s="338" t="s">
        <v>166</v>
      </c>
      <c r="E437" s="338" t="s">
        <v>989</v>
      </c>
      <c r="F437" s="338" t="s">
        <v>225</v>
      </c>
      <c r="G437" s="343">
        <f>210</f>
        <v>210</v>
      </c>
      <c r="H437" s="343">
        <f t="shared" si="35"/>
        <v>210</v>
      </c>
      <c r="I437" s="218"/>
    </row>
    <row r="438" spans="1:9" ht="47.25" x14ac:dyDescent="0.25">
      <c r="A438" s="340" t="s">
        <v>1423</v>
      </c>
      <c r="B438" s="337">
        <v>903</v>
      </c>
      <c r="C438" s="341" t="s">
        <v>315</v>
      </c>
      <c r="D438" s="341" t="s">
        <v>166</v>
      </c>
      <c r="E438" s="341" t="s">
        <v>360</v>
      </c>
      <c r="F438" s="341"/>
      <c r="G438" s="339">
        <f t="shared" ref="G438:H440" si="36">G439</f>
        <v>260</v>
      </c>
      <c r="H438" s="339">
        <f t="shared" si="36"/>
        <v>260</v>
      </c>
      <c r="I438" s="218"/>
    </row>
    <row r="439" spans="1:9" ht="47.25" x14ac:dyDescent="0.25">
      <c r="A439" s="340" t="s">
        <v>380</v>
      </c>
      <c r="B439" s="337">
        <v>903</v>
      </c>
      <c r="C439" s="341" t="s">
        <v>315</v>
      </c>
      <c r="D439" s="341" t="s">
        <v>166</v>
      </c>
      <c r="E439" s="341" t="s">
        <v>381</v>
      </c>
      <c r="F439" s="341"/>
      <c r="G439" s="339">
        <f t="shared" si="36"/>
        <v>260</v>
      </c>
      <c r="H439" s="339">
        <f t="shared" si="36"/>
        <v>260</v>
      </c>
      <c r="I439" s="218"/>
    </row>
    <row r="440" spans="1:9" ht="31.5" x14ac:dyDescent="0.25">
      <c r="A440" s="340" t="s">
        <v>1147</v>
      </c>
      <c r="B440" s="337">
        <v>903</v>
      </c>
      <c r="C440" s="341" t="s">
        <v>315</v>
      </c>
      <c r="D440" s="341" t="s">
        <v>166</v>
      </c>
      <c r="E440" s="341" t="s">
        <v>966</v>
      </c>
      <c r="F440" s="341"/>
      <c r="G440" s="339">
        <f t="shared" si="36"/>
        <v>260</v>
      </c>
      <c r="H440" s="339">
        <f t="shared" si="36"/>
        <v>260</v>
      </c>
      <c r="I440" s="218"/>
    </row>
    <row r="441" spans="1:9" ht="31.5" x14ac:dyDescent="0.25">
      <c r="A441" s="342" t="s">
        <v>1146</v>
      </c>
      <c r="B441" s="336">
        <v>903</v>
      </c>
      <c r="C441" s="338" t="s">
        <v>315</v>
      </c>
      <c r="D441" s="338" t="s">
        <v>166</v>
      </c>
      <c r="E441" s="338" t="s">
        <v>1223</v>
      </c>
      <c r="F441" s="338"/>
      <c r="G441" s="343">
        <f>G442</f>
        <v>260</v>
      </c>
      <c r="H441" s="343">
        <f>H442</f>
        <v>260</v>
      </c>
      <c r="I441" s="218"/>
    </row>
    <row r="442" spans="1:9" ht="31.5" x14ac:dyDescent="0.25">
      <c r="A442" s="342" t="s">
        <v>147</v>
      </c>
      <c r="B442" s="336">
        <v>903</v>
      </c>
      <c r="C442" s="338" t="s">
        <v>315</v>
      </c>
      <c r="D442" s="338" t="s">
        <v>166</v>
      </c>
      <c r="E442" s="338" t="s">
        <v>1223</v>
      </c>
      <c r="F442" s="338" t="s">
        <v>148</v>
      </c>
      <c r="G442" s="343">
        <f>G443</f>
        <v>260</v>
      </c>
      <c r="H442" s="343">
        <f>H443</f>
        <v>260</v>
      </c>
      <c r="I442" s="218"/>
    </row>
    <row r="443" spans="1:9" ht="31.5" x14ac:dyDescent="0.25">
      <c r="A443" s="342" t="s">
        <v>149</v>
      </c>
      <c r="B443" s="336">
        <v>903</v>
      </c>
      <c r="C443" s="338" t="s">
        <v>315</v>
      </c>
      <c r="D443" s="338" t="s">
        <v>166</v>
      </c>
      <c r="E443" s="338" t="s">
        <v>1223</v>
      </c>
      <c r="F443" s="338" t="s">
        <v>150</v>
      </c>
      <c r="G443" s="343">
        <f>260</f>
        <v>260</v>
      </c>
      <c r="H443" s="343">
        <f t="shared" si="35"/>
        <v>260</v>
      </c>
      <c r="I443" s="218"/>
    </row>
    <row r="444" spans="1:9" ht="15.75" x14ac:dyDescent="0.25">
      <c r="A444" s="340" t="s">
        <v>259</v>
      </c>
      <c r="B444" s="337">
        <v>903</v>
      </c>
      <c r="C444" s="341" t="s">
        <v>260</v>
      </c>
      <c r="D444" s="341"/>
      <c r="E444" s="341"/>
      <c r="F444" s="341"/>
      <c r="G444" s="339">
        <f>G445</f>
        <v>1824</v>
      </c>
      <c r="H444" s="339">
        <f>H445</f>
        <v>1834</v>
      </c>
      <c r="I444" s="218"/>
    </row>
    <row r="445" spans="1:9" ht="15.75" x14ac:dyDescent="0.25">
      <c r="A445" s="340" t="s">
        <v>268</v>
      </c>
      <c r="B445" s="337">
        <v>903</v>
      </c>
      <c r="C445" s="341" t="s">
        <v>260</v>
      </c>
      <c r="D445" s="341" t="s">
        <v>231</v>
      </c>
      <c r="E445" s="341"/>
      <c r="F445" s="341"/>
      <c r="G445" s="339">
        <f>G446</f>
        <v>1824</v>
      </c>
      <c r="H445" s="339">
        <f>H446</f>
        <v>1834</v>
      </c>
      <c r="I445" s="218"/>
    </row>
    <row r="446" spans="1:9" ht="47.25" x14ac:dyDescent="0.25">
      <c r="A446" s="340" t="s">
        <v>1423</v>
      </c>
      <c r="B446" s="337">
        <v>903</v>
      </c>
      <c r="C446" s="341" t="s">
        <v>260</v>
      </c>
      <c r="D446" s="341" t="s">
        <v>231</v>
      </c>
      <c r="E446" s="341" t="s">
        <v>360</v>
      </c>
      <c r="F446" s="341"/>
      <c r="G446" s="339">
        <f>G447+G452+G457+G468</f>
        <v>1824</v>
      </c>
      <c r="H446" s="339">
        <f>H447+H452+H457+H468</f>
        <v>1834</v>
      </c>
      <c r="I446" s="218"/>
    </row>
    <row r="447" spans="1:9" ht="31.5" x14ac:dyDescent="0.25">
      <c r="A447" s="340" t="s">
        <v>368</v>
      </c>
      <c r="B447" s="337">
        <v>903</v>
      </c>
      <c r="C447" s="341" t="s">
        <v>260</v>
      </c>
      <c r="D447" s="341" t="s">
        <v>231</v>
      </c>
      <c r="E447" s="341" t="s">
        <v>369</v>
      </c>
      <c r="F447" s="341"/>
      <c r="G447" s="339">
        <f t="shared" ref="G447:H450" si="37">G448</f>
        <v>44</v>
      </c>
      <c r="H447" s="339">
        <f t="shared" si="37"/>
        <v>54</v>
      </c>
      <c r="I447" s="218"/>
    </row>
    <row r="448" spans="1:9" ht="31.5" x14ac:dyDescent="0.25">
      <c r="A448" s="340" t="s">
        <v>976</v>
      </c>
      <c r="B448" s="337">
        <v>903</v>
      </c>
      <c r="C448" s="341" t="s">
        <v>260</v>
      </c>
      <c r="D448" s="341" t="s">
        <v>231</v>
      </c>
      <c r="E448" s="341" t="s">
        <v>975</v>
      </c>
      <c r="F448" s="341"/>
      <c r="G448" s="339">
        <f t="shared" si="37"/>
        <v>44</v>
      </c>
      <c r="H448" s="339">
        <f t="shared" si="37"/>
        <v>54</v>
      </c>
      <c r="I448" s="218"/>
    </row>
    <row r="449" spans="1:9" ht="31.5" x14ac:dyDescent="0.25">
      <c r="A449" s="342" t="s">
        <v>869</v>
      </c>
      <c r="B449" s="336">
        <v>903</v>
      </c>
      <c r="C449" s="338" t="s">
        <v>260</v>
      </c>
      <c r="D449" s="338" t="s">
        <v>231</v>
      </c>
      <c r="E449" s="338" t="s">
        <v>977</v>
      </c>
      <c r="F449" s="338"/>
      <c r="G449" s="343">
        <f t="shared" si="37"/>
        <v>44</v>
      </c>
      <c r="H449" s="343">
        <f t="shared" si="37"/>
        <v>54</v>
      </c>
      <c r="I449" s="218"/>
    </row>
    <row r="450" spans="1:9" ht="21.2" customHeight="1" x14ac:dyDescent="0.25">
      <c r="A450" s="342" t="s">
        <v>264</v>
      </c>
      <c r="B450" s="336">
        <v>903</v>
      </c>
      <c r="C450" s="338" t="s">
        <v>260</v>
      </c>
      <c r="D450" s="338" t="s">
        <v>231</v>
      </c>
      <c r="E450" s="338" t="s">
        <v>977</v>
      </c>
      <c r="F450" s="338" t="s">
        <v>265</v>
      </c>
      <c r="G450" s="343">
        <f>G451</f>
        <v>44</v>
      </c>
      <c r="H450" s="343">
        <f t="shared" si="37"/>
        <v>54</v>
      </c>
      <c r="I450" s="218"/>
    </row>
    <row r="451" spans="1:9" ht="31.5" x14ac:dyDescent="0.25">
      <c r="A451" s="342" t="s">
        <v>266</v>
      </c>
      <c r="B451" s="336">
        <v>903</v>
      </c>
      <c r="C451" s="338" t="s">
        <v>260</v>
      </c>
      <c r="D451" s="338" t="s">
        <v>231</v>
      </c>
      <c r="E451" s="338" t="s">
        <v>977</v>
      </c>
      <c r="F451" s="338" t="s">
        <v>267</v>
      </c>
      <c r="G451" s="343">
        <v>44</v>
      </c>
      <c r="H451" s="343">
        <v>54</v>
      </c>
      <c r="I451" s="218"/>
    </row>
    <row r="452" spans="1:9" ht="31.5" x14ac:dyDescent="0.25">
      <c r="A452" s="340" t="s">
        <v>371</v>
      </c>
      <c r="B452" s="337">
        <v>903</v>
      </c>
      <c r="C452" s="337">
        <v>10</v>
      </c>
      <c r="D452" s="341" t="s">
        <v>231</v>
      </c>
      <c r="E452" s="341" t="s">
        <v>372</v>
      </c>
      <c r="F452" s="341"/>
      <c r="G452" s="339">
        <f>G454</f>
        <v>420</v>
      </c>
      <c r="H452" s="339">
        <f>H454</f>
        <v>420</v>
      </c>
      <c r="I452" s="218"/>
    </row>
    <row r="453" spans="1:9" ht="31.5" x14ac:dyDescent="0.25">
      <c r="A453" s="340" t="s">
        <v>1148</v>
      </c>
      <c r="B453" s="337">
        <v>903</v>
      </c>
      <c r="C453" s="337">
        <v>10</v>
      </c>
      <c r="D453" s="341" t="s">
        <v>231</v>
      </c>
      <c r="E453" s="341" t="s">
        <v>978</v>
      </c>
      <c r="F453" s="341"/>
      <c r="G453" s="339">
        <f t="shared" ref="G453:H455" si="38">G454</f>
        <v>420</v>
      </c>
      <c r="H453" s="339">
        <f t="shared" si="38"/>
        <v>420</v>
      </c>
      <c r="I453" s="218"/>
    </row>
    <row r="454" spans="1:9" ht="15.75" x14ac:dyDescent="0.25">
      <c r="A454" s="342" t="s">
        <v>1203</v>
      </c>
      <c r="B454" s="336">
        <v>903</v>
      </c>
      <c r="C454" s="338" t="s">
        <v>260</v>
      </c>
      <c r="D454" s="338" t="s">
        <v>231</v>
      </c>
      <c r="E454" s="338" t="s">
        <v>979</v>
      </c>
      <c r="F454" s="338"/>
      <c r="G454" s="343">
        <f t="shared" si="38"/>
        <v>420</v>
      </c>
      <c r="H454" s="343">
        <f t="shared" si="38"/>
        <v>420</v>
      </c>
      <c r="I454" s="218"/>
    </row>
    <row r="455" spans="1:9" ht="22.7" customHeight="1" x14ac:dyDescent="0.25">
      <c r="A455" s="342" t="s">
        <v>264</v>
      </c>
      <c r="B455" s="336">
        <v>903</v>
      </c>
      <c r="C455" s="338" t="s">
        <v>260</v>
      </c>
      <c r="D455" s="338" t="s">
        <v>231</v>
      </c>
      <c r="E455" s="338" t="s">
        <v>979</v>
      </c>
      <c r="F455" s="338" t="s">
        <v>265</v>
      </c>
      <c r="G455" s="343">
        <f t="shared" si="38"/>
        <v>420</v>
      </c>
      <c r="H455" s="343">
        <f t="shared" si="38"/>
        <v>420</v>
      </c>
      <c r="I455" s="218"/>
    </row>
    <row r="456" spans="1:9" ht="31.5" x14ac:dyDescent="0.25">
      <c r="A456" s="342" t="s">
        <v>364</v>
      </c>
      <c r="B456" s="336">
        <v>903</v>
      </c>
      <c r="C456" s="338" t="s">
        <v>260</v>
      </c>
      <c r="D456" s="338" t="s">
        <v>231</v>
      </c>
      <c r="E456" s="338" t="s">
        <v>979</v>
      </c>
      <c r="F456" s="338" t="s">
        <v>365</v>
      </c>
      <c r="G456" s="343">
        <f>420</f>
        <v>420</v>
      </c>
      <c r="H456" s="343">
        <f t="shared" si="35"/>
        <v>420</v>
      </c>
      <c r="I456" s="218"/>
    </row>
    <row r="457" spans="1:9" ht="15.75" x14ac:dyDescent="0.25">
      <c r="A457" s="340" t="s">
        <v>374</v>
      </c>
      <c r="B457" s="337">
        <v>903</v>
      </c>
      <c r="C457" s="337">
        <v>10</v>
      </c>
      <c r="D457" s="341" t="s">
        <v>231</v>
      </c>
      <c r="E457" s="341" t="s">
        <v>375</v>
      </c>
      <c r="F457" s="341"/>
      <c r="G457" s="339">
        <f>G462+G458</f>
        <v>1110</v>
      </c>
      <c r="H457" s="339">
        <f>H462+H458</f>
        <v>1110</v>
      </c>
      <c r="I457" s="218"/>
    </row>
    <row r="458" spans="1:9" ht="31.5" x14ac:dyDescent="0.25">
      <c r="A458" s="340" t="s">
        <v>1205</v>
      </c>
      <c r="B458" s="337">
        <v>903</v>
      </c>
      <c r="C458" s="341" t="s">
        <v>260</v>
      </c>
      <c r="D458" s="341" t="s">
        <v>231</v>
      </c>
      <c r="E458" s="341" t="s">
        <v>981</v>
      </c>
      <c r="F458" s="341"/>
      <c r="G458" s="339">
        <f t="shared" ref="G458:H460" si="39">G459</f>
        <v>630</v>
      </c>
      <c r="H458" s="339">
        <f t="shared" si="39"/>
        <v>630</v>
      </c>
      <c r="I458" s="218"/>
    </row>
    <row r="459" spans="1:9" ht="47.25" x14ac:dyDescent="0.25">
      <c r="A459" s="99" t="s">
        <v>1206</v>
      </c>
      <c r="B459" s="336">
        <v>903</v>
      </c>
      <c r="C459" s="338" t="s">
        <v>260</v>
      </c>
      <c r="D459" s="338" t="s">
        <v>231</v>
      </c>
      <c r="E459" s="338" t="s">
        <v>982</v>
      </c>
      <c r="F459" s="338"/>
      <c r="G459" s="343">
        <f t="shared" si="39"/>
        <v>630</v>
      </c>
      <c r="H459" s="343">
        <f t="shared" si="39"/>
        <v>630</v>
      </c>
      <c r="I459" s="218"/>
    </row>
    <row r="460" spans="1:9" ht="31.5" x14ac:dyDescent="0.25">
      <c r="A460" s="342" t="s">
        <v>264</v>
      </c>
      <c r="B460" s="336">
        <v>903</v>
      </c>
      <c r="C460" s="338" t="s">
        <v>260</v>
      </c>
      <c r="D460" s="338" t="s">
        <v>231</v>
      </c>
      <c r="E460" s="338" t="s">
        <v>982</v>
      </c>
      <c r="F460" s="338" t="s">
        <v>265</v>
      </c>
      <c r="G460" s="343">
        <f t="shared" si="39"/>
        <v>630</v>
      </c>
      <c r="H460" s="343">
        <f t="shared" si="39"/>
        <v>630</v>
      </c>
      <c r="I460" s="218"/>
    </row>
    <row r="461" spans="1:9" ht="31.5" x14ac:dyDescent="0.25">
      <c r="A461" s="342" t="s">
        <v>364</v>
      </c>
      <c r="B461" s="336">
        <v>903</v>
      </c>
      <c r="C461" s="338" t="s">
        <v>260</v>
      </c>
      <c r="D461" s="338" t="s">
        <v>231</v>
      </c>
      <c r="E461" s="338" t="s">
        <v>982</v>
      </c>
      <c r="F461" s="338" t="s">
        <v>365</v>
      </c>
      <c r="G461" s="343">
        <f>630</f>
        <v>630</v>
      </c>
      <c r="H461" s="343">
        <f t="shared" si="35"/>
        <v>630</v>
      </c>
      <c r="I461" s="218"/>
    </row>
    <row r="462" spans="1:9" ht="31.5" x14ac:dyDescent="0.25">
      <c r="A462" s="340" t="s">
        <v>980</v>
      </c>
      <c r="B462" s="337">
        <v>903</v>
      </c>
      <c r="C462" s="337">
        <v>10</v>
      </c>
      <c r="D462" s="341" t="s">
        <v>231</v>
      </c>
      <c r="E462" s="341" t="s">
        <v>983</v>
      </c>
      <c r="F462" s="341"/>
      <c r="G462" s="339">
        <f>G463+G466</f>
        <v>480</v>
      </c>
      <c r="H462" s="339">
        <f>H463+H466</f>
        <v>480</v>
      </c>
      <c r="I462" s="218"/>
    </row>
    <row r="463" spans="1:9" ht="31.5" x14ac:dyDescent="0.25">
      <c r="A463" s="342" t="s">
        <v>1149</v>
      </c>
      <c r="B463" s="336">
        <v>903</v>
      </c>
      <c r="C463" s="338" t="s">
        <v>260</v>
      </c>
      <c r="D463" s="338" t="s">
        <v>231</v>
      </c>
      <c r="E463" s="338" t="s">
        <v>984</v>
      </c>
      <c r="F463" s="338"/>
      <c r="G463" s="343">
        <f>G464</f>
        <v>270</v>
      </c>
      <c r="H463" s="343">
        <f>H464</f>
        <v>270</v>
      </c>
      <c r="I463" s="218"/>
    </row>
    <row r="464" spans="1:9" ht="31.5" x14ac:dyDescent="0.25">
      <c r="A464" s="342" t="s">
        <v>147</v>
      </c>
      <c r="B464" s="336">
        <v>903</v>
      </c>
      <c r="C464" s="338" t="s">
        <v>260</v>
      </c>
      <c r="D464" s="338" t="s">
        <v>231</v>
      </c>
      <c r="E464" s="338" t="s">
        <v>984</v>
      </c>
      <c r="F464" s="338" t="s">
        <v>148</v>
      </c>
      <c r="G464" s="343">
        <f>G465</f>
        <v>270</v>
      </c>
      <c r="H464" s="343">
        <f>H465</f>
        <v>270</v>
      </c>
      <c r="I464" s="218"/>
    </row>
    <row r="465" spans="1:9" ht="31.5" x14ac:dyDescent="0.25">
      <c r="A465" s="342" t="s">
        <v>149</v>
      </c>
      <c r="B465" s="336">
        <v>903</v>
      </c>
      <c r="C465" s="338" t="s">
        <v>260</v>
      </c>
      <c r="D465" s="338" t="s">
        <v>231</v>
      </c>
      <c r="E465" s="338" t="s">
        <v>984</v>
      </c>
      <c r="F465" s="338" t="s">
        <v>150</v>
      </c>
      <c r="G465" s="343">
        <f>270</f>
        <v>270</v>
      </c>
      <c r="H465" s="343">
        <f t="shared" si="35"/>
        <v>270</v>
      </c>
      <c r="I465" s="218"/>
    </row>
    <row r="466" spans="1:9" s="217" customFormat="1" ht="31.5" x14ac:dyDescent="0.25">
      <c r="A466" s="342" t="s">
        <v>264</v>
      </c>
      <c r="B466" s="336">
        <v>903</v>
      </c>
      <c r="C466" s="338" t="s">
        <v>260</v>
      </c>
      <c r="D466" s="338" t="s">
        <v>231</v>
      </c>
      <c r="E466" s="338" t="s">
        <v>984</v>
      </c>
      <c r="F466" s="338" t="s">
        <v>265</v>
      </c>
      <c r="G466" s="343">
        <f>G467</f>
        <v>210</v>
      </c>
      <c r="H466" s="343">
        <f>H467</f>
        <v>210</v>
      </c>
      <c r="I466" s="218"/>
    </row>
    <row r="467" spans="1:9" s="217" customFormat="1" ht="31.5" x14ac:dyDescent="0.25">
      <c r="A467" s="342" t="s">
        <v>364</v>
      </c>
      <c r="B467" s="336">
        <v>903</v>
      </c>
      <c r="C467" s="338" t="s">
        <v>260</v>
      </c>
      <c r="D467" s="338" t="s">
        <v>231</v>
      </c>
      <c r="E467" s="338" t="s">
        <v>984</v>
      </c>
      <c r="F467" s="338" t="s">
        <v>365</v>
      </c>
      <c r="G467" s="343">
        <f>210</f>
        <v>210</v>
      </c>
      <c r="H467" s="343">
        <f t="shared" si="35"/>
        <v>210</v>
      </c>
      <c r="I467" s="218"/>
    </row>
    <row r="468" spans="1:9" ht="31.5" x14ac:dyDescent="0.25">
      <c r="A468" s="340" t="s">
        <v>377</v>
      </c>
      <c r="B468" s="337">
        <v>903</v>
      </c>
      <c r="C468" s="341" t="s">
        <v>260</v>
      </c>
      <c r="D468" s="341" t="s">
        <v>231</v>
      </c>
      <c r="E468" s="341" t="s">
        <v>378</v>
      </c>
      <c r="F468" s="341"/>
      <c r="G468" s="339">
        <f t="shared" ref="G468:H471" si="40">G469</f>
        <v>250</v>
      </c>
      <c r="H468" s="339">
        <f t="shared" si="40"/>
        <v>250</v>
      </c>
      <c r="I468" s="218"/>
    </row>
    <row r="469" spans="1:9" ht="47.25" x14ac:dyDescent="0.25">
      <c r="A469" s="340" t="s">
        <v>1208</v>
      </c>
      <c r="B469" s="337">
        <v>903</v>
      </c>
      <c r="C469" s="341" t="s">
        <v>260</v>
      </c>
      <c r="D469" s="341" t="s">
        <v>231</v>
      </c>
      <c r="E469" s="341" t="s">
        <v>986</v>
      </c>
      <c r="F469" s="341"/>
      <c r="G469" s="339">
        <f t="shared" si="40"/>
        <v>250</v>
      </c>
      <c r="H469" s="339">
        <f t="shared" si="40"/>
        <v>250</v>
      </c>
      <c r="I469" s="218"/>
    </row>
    <row r="470" spans="1:9" ht="47.25" x14ac:dyDescent="0.25">
      <c r="A470" s="342" t="s">
        <v>1207</v>
      </c>
      <c r="B470" s="336">
        <v>903</v>
      </c>
      <c r="C470" s="338" t="s">
        <v>260</v>
      </c>
      <c r="D470" s="338" t="s">
        <v>231</v>
      </c>
      <c r="E470" s="338" t="s">
        <v>985</v>
      </c>
      <c r="F470" s="338"/>
      <c r="G470" s="343">
        <f t="shared" si="40"/>
        <v>250</v>
      </c>
      <c r="H470" s="343">
        <f t="shared" si="40"/>
        <v>250</v>
      </c>
      <c r="I470" s="218"/>
    </row>
    <row r="471" spans="1:9" ht="17.45" customHeight="1" x14ac:dyDescent="0.25">
      <c r="A471" s="342" t="s">
        <v>264</v>
      </c>
      <c r="B471" s="336">
        <v>903</v>
      </c>
      <c r="C471" s="338" t="s">
        <v>260</v>
      </c>
      <c r="D471" s="338" t="s">
        <v>231</v>
      </c>
      <c r="E471" s="338" t="s">
        <v>985</v>
      </c>
      <c r="F471" s="338" t="s">
        <v>265</v>
      </c>
      <c r="G471" s="343">
        <f t="shared" si="40"/>
        <v>250</v>
      </c>
      <c r="H471" s="343">
        <f t="shared" si="40"/>
        <v>250</v>
      </c>
      <c r="I471" s="218"/>
    </row>
    <row r="472" spans="1:9" ht="31.5" x14ac:dyDescent="0.25">
      <c r="A472" s="342" t="s">
        <v>364</v>
      </c>
      <c r="B472" s="336">
        <v>903</v>
      </c>
      <c r="C472" s="338" t="s">
        <v>260</v>
      </c>
      <c r="D472" s="338" t="s">
        <v>231</v>
      </c>
      <c r="E472" s="338" t="s">
        <v>985</v>
      </c>
      <c r="F472" s="338" t="s">
        <v>365</v>
      </c>
      <c r="G472" s="343">
        <f>250</f>
        <v>250</v>
      </c>
      <c r="H472" s="343">
        <f t="shared" si="35"/>
        <v>250</v>
      </c>
      <c r="I472" s="218"/>
    </row>
    <row r="473" spans="1:9" s="217" customFormat="1" ht="15.75" x14ac:dyDescent="0.25">
      <c r="A473" s="340" t="s">
        <v>598</v>
      </c>
      <c r="B473" s="337">
        <v>903</v>
      </c>
      <c r="C473" s="341" t="s">
        <v>254</v>
      </c>
      <c r="D473" s="338"/>
      <c r="E473" s="338"/>
      <c r="F473" s="338"/>
      <c r="G473" s="339">
        <f>G474</f>
        <v>5479</v>
      </c>
      <c r="H473" s="339">
        <f>H474</f>
        <v>5479</v>
      </c>
      <c r="I473" s="218"/>
    </row>
    <row r="474" spans="1:9" s="217" customFormat="1" ht="15.75" x14ac:dyDescent="0.25">
      <c r="A474" s="340" t="s">
        <v>599</v>
      </c>
      <c r="B474" s="337">
        <v>903</v>
      </c>
      <c r="C474" s="341" t="s">
        <v>254</v>
      </c>
      <c r="D474" s="341" t="s">
        <v>229</v>
      </c>
      <c r="E474" s="341"/>
      <c r="F474" s="341"/>
      <c r="G474" s="339">
        <f>G475+G487</f>
        <v>5479</v>
      </c>
      <c r="H474" s="339">
        <f>H475+H487</f>
        <v>5479</v>
      </c>
      <c r="I474" s="218"/>
    </row>
    <row r="475" spans="1:9" s="217" customFormat="1" ht="15.75" x14ac:dyDescent="0.25">
      <c r="A475" s="340" t="s">
        <v>157</v>
      </c>
      <c r="B475" s="337">
        <v>903</v>
      </c>
      <c r="C475" s="341" t="s">
        <v>254</v>
      </c>
      <c r="D475" s="341" t="s">
        <v>229</v>
      </c>
      <c r="E475" s="341" t="s">
        <v>912</v>
      </c>
      <c r="F475" s="341"/>
      <c r="G475" s="339">
        <f>G476</f>
        <v>5419</v>
      </c>
      <c r="H475" s="339">
        <f>H476</f>
        <v>5419</v>
      </c>
      <c r="I475" s="218"/>
    </row>
    <row r="476" spans="1:9" s="217" customFormat="1" ht="15.75" x14ac:dyDescent="0.25">
      <c r="A476" s="340" t="s">
        <v>1090</v>
      </c>
      <c r="B476" s="337">
        <v>903</v>
      </c>
      <c r="C476" s="341" t="s">
        <v>254</v>
      </c>
      <c r="D476" s="341" t="s">
        <v>229</v>
      </c>
      <c r="E476" s="341" t="s">
        <v>1089</v>
      </c>
      <c r="F476" s="341"/>
      <c r="G476" s="339">
        <f>G477+G484</f>
        <v>5419</v>
      </c>
      <c r="H476" s="339">
        <f>H477+H484</f>
        <v>5419</v>
      </c>
      <c r="I476" s="218"/>
    </row>
    <row r="477" spans="1:9" s="217" customFormat="1" ht="15.75" x14ac:dyDescent="0.25">
      <c r="A477" s="342" t="s">
        <v>834</v>
      </c>
      <c r="B477" s="336">
        <v>903</v>
      </c>
      <c r="C477" s="338" t="s">
        <v>254</v>
      </c>
      <c r="D477" s="338" t="s">
        <v>229</v>
      </c>
      <c r="E477" s="338" t="s">
        <v>1091</v>
      </c>
      <c r="F477" s="338"/>
      <c r="G477" s="343">
        <f>G478+G480+G482</f>
        <v>5209</v>
      </c>
      <c r="H477" s="343">
        <f>H478+H480+H482</f>
        <v>5209</v>
      </c>
      <c r="I477" s="218"/>
    </row>
    <row r="478" spans="1:9" s="217" customFormat="1" ht="78.75" x14ac:dyDescent="0.25">
      <c r="A478" s="342" t="s">
        <v>143</v>
      </c>
      <c r="B478" s="336">
        <v>903</v>
      </c>
      <c r="C478" s="338" t="s">
        <v>254</v>
      </c>
      <c r="D478" s="338" t="s">
        <v>229</v>
      </c>
      <c r="E478" s="338" t="s">
        <v>1091</v>
      </c>
      <c r="F478" s="338" t="s">
        <v>144</v>
      </c>
      <c r="G478" s="343">
        <f>G479</f>
        <v>4500</v>
      </c>
      <c r="H478" s="343">
        <f>H479</f>
        <v>4500</v>
      </c>
      <c r="I478" s="218"/>
    </row>
    <row r="479" spans="1:9" s="217" customFormat="1" ht="15.75" x14ac:dyDescent="0.25">
      <c r="A479" s="342" t="s">
        <v>224</v>
      </c>
      <c r="B479" s="336">
        <v>903</v>
      </c>
      <c r="C479" s="338" t="s">
        <v>254</v>
      </c>
      <c r="D479" s="338" t="s">
        <v>229</v>
      </c>
      <c r="E479" s="338" t="s">
        <v>1091</v>
      </c>
      <c r="F479" s="338" t="s">
        <v>225</v>
      </c>
      <c r="G479" s="344">
        <v>4500</v>
      </c>
      <c r="H479" s="344">
        <f>G479</f>
        <v>4500</v>
      </c>
      <c r="I479" s="218"/>
    </row>
    <row r="480" spans="1:9" s="217" customFormat="1" ht="31.5" x14ac:dyDescent="0.25">
      <c r="A480" s="342" t="s">
        <v>147</v>
      </c>
      <c r="B480" s="336">
        <v>903</v>
      </c>
      <c r="C480" s="338" t="s">
        <v>254</v>
      </c>
      <c r="D480" s="338" t="s">
        <v>229</v>
      </c>
      <c r="E480" s="338" t="s">
        <v>1091</v>
      </c>
      <c r="F480" s="338" t="s">
        <v>148</v>
      </c>
      <c r="G480" s="343">
        <f>G481</f>
        <v>659</v>
      </c>
      <c r="H480" s="343">
        <f>H481</f>
        <v>659</v>
      </c>
      <c r="I480" s="218"/>
    </row>
    <row r="481" spans="1:9" s="217" customFormat="1" ht="31.5" x14ac:dyDescent="0.25">
      <c r="A481" s="342" t="s">
        <v>149</v>
      </c>
      <c r="B481" s="336">
        <v>903</v>
      </c>
      <c r="C481" s="338" t="s">
        <v>254</v>
      </c>
      <c r="D481" s="338" t="s">
        <v>229</v>
      </c>
      <c r="E481" s="338" t="s">
        <v>1091</v>
      </c>
      <c r="F481" s="338" t="s">
        <v>150</v>
      </c>
      <c r="G481" s="344">
        <f>659</f>
        <v>659</v>
      </c>
      <c r="H481" s="344">
        <f>G481</f>
        <v>659</v>
      </c>
      <c r="I481" s="218"/>
    </row>
    <row r="482" spans="1:9" s="217" customFormat="1" ht="15.75" x14ac:dyDescent="0.25">
      <c r="A482" s="342" t="s">
        <v>151</v>
      </c>
      <c r="B482" s="336">
        <v>903</v>
      </c>
      <c r="C482" s="338" t="s">
        <v>254</v>
      </c>
      <c r="D482" s="338" t="s">
        <v>229</v>
      </c>
      <c r="E482" s="338" t="s">
        <v>1091</v>
      </c>
      <c r="F482" s="338" t="s">
        <v>161</v>
      </c>
      <c r="G482" s="343">
        <f>G483</f>
        <v>50</v>
      </c>
      <c r="H482" s="343">
        <f>H483</f>
        <v>50</v>
      </c>
      <c r="I482" s="218"/>
    </row>
    <row r="483" spans="1:9" s="217" customFormat="1" ht="15.75" x14ac:dyDescent="0.25">
      <c r="A483" s="342" t="s">
        <v>584</v>
      </c>
      <c r="B483" s="336">
        <v>903</v>
      </c>
      <c r="C483" s="338" t="s">
        <v>254</v>
      </c>
      <c r="D483" s="338" t="s">
        <v>229</v>
      </c>
      <c r="E483" s="338" t="s">
        <v>1091</v>
      </c>
      <c r="F483" s="338" t="s">
        <v>154</v>
      </c>
      <c r="G483" s="343">
        <f>50</f>
        <v>50</v>
      </c>
      <c r="H483" s="343">
        <f>G483</f>
        <v>50</v>
      </c>
      <c r="I483" s="218"/>
    </row>
    <row r="484" spans="1:9" s="217" customFormat="1" ht="47.25" x14ac:dyDescent="0.25">
      <c r="A484" s="342" t="s">
        <v>885</v>
      </c>
      <c r="B484" s="336">
        <v>903</v>
      </c>
      <c r="C484" s="338" t="s">
        <v>254</v>
      </c>
      <c r="D484" s="338" t="s">
        <v>229</v>
      </c>
      <c r="E484" s="338" t="s">
        <v>1092</v>
      </c>
      <c r="F484" s="338"/>
      <c r="G484" s="343">
        <f>G485</f>
        <v>210</v>
      </c>
      <c r="H484" s="343">
        <f>H485</f>
        <v>210</v>
      </c>
      <c r="I484" s="218"/>
    </row>
    <row r="485" spans="1:9" s="217" customFormat="1" ht="78.75" x14ac:dyDescent="0.25">
      <c r="A485" s="342" t="s">
        <v>143</v>
      </c>
      <c r="B485" s="336">
        <v>903</v>
      </c>
      <c r="C485" s="338" t="s">
        <v>254</v>
      </c>
      <c r="D485" s="338" t="s">
        <v>229</v>
      </c>
      <c r="E485" s="338" t="s">
        <v>1092</v>
      </c>
      <c r="F485" s="338" t="s">
        <v>144</v>
      </c>
      <c r="G485" s="343">
        <f>G486</f>
        <v>210</v>
      </c>
      <c r="H485" s="343">
        <f>H486</f>
        <v>210</v>
      </c>
      <c r="I485" s="218"/>
    </row>
    <row r="486" spans="1:9" s="217" customFormat="1" ht="15.75" x14ac:dyDescent="0.25">
      <c r="A486" s="342" t="s">
        <v>224</v>
      </c>
      <c r="B486" s="336">
        <v>903</v>
      </c>
      <c r="C486" s="338" t="s">
        <v>254</v>
      </c>
      <c r="D486" s="338" t="s">
        <v>229</v>
      </c>
      <c r="E486" s="338" t="s">
        <v>1092</v>
      </c>
      <c r="F486" s="338" t="s">
        <v>225</v>
      </c>
      <c r="G486" s="343">
        <f>210</f>
        <v>210</v>
      </c>
      <c r="H486" s="343">
        <f>G486</f>
        <v>210</v>
      </c>
      <c r="I486" s="218"/>
    </row>
    <row r="487" spans="1:9" s="217" customFormat="1" ht="63" x14ac:dyDescent="0.25">
      <c r="A487" s="41" t="s">
        <v>1425</v>
      </c>
      <c r="B487" s="337">
        <v>903</v>
      </c>
      <c r="C487" s="341" t="s">
        <v>254</v>
      </c>
      <c r="D487" s="341" t="s">
        <v>229</v>
      </c>
      <c r="E487" s="341" t="s">
        <v>728</v>
      </c>
      <c r="F487" s="235"/>
      <c r="G487" s="339">
        <f>G489</f>
        <v>60</v>
      </c>
      <c r="H487" s="339">
        <f>H489</f>
        <v>60</v>
      </c>
      <c r="I487" s="218"/>
    </row>
    <row r="488" spans="1:9" s="217" customFormat="1" ht="47.25" x14ac:dyDescent="0.25">
      <c r="A488" s="41" t="s">
        <v>949</v>
      </c>
      <c r="B488" s="337">
        <v>903</v>
      </c>
      <c r="C488" s="341" t="s">
        <v>254</v>
      </c>
      <c r="D488" s="341" t="s">
        <v>229</v>
      </c>
      <c r="E488" s="341" t="s">
        <v>947</v>
      </c>
      <c r="F488" s="235"/>
      <c r="G488" s="339">
        <f t="shared" ref="G488:H490" si="41">G489</f>
        <v>60</v>
      </c>
      <c r="H488" s="339">
        <f t="shared" si="41"/>
        <v>60</v>
      </c>
      <c r="I488" s="218"/>
    </row>
    <row r="489" spans="1:9" s="217" customFormat="1" ht="47.25" x14ac:dyDescent="0.25">
      <c r="A489" s="99" t="s">
        <v>1157</v>
      </c>
      <c r="B489" s="336">
        <v>903</v>
      </c>
      <c r="C489" s="338" t="s">
        <v>254</v>
      </c>
      <c r="D489" s="338" t="s">
        <v>229</v>
      </c>
      <c r="E489" s="338" t="s">
        <v>948</v>
      </c>
      <c r="F489" s="32"/>
      <c r="G489" s="343">
        <f t="shared" si="41"/>
        <v>60</v>
      </c>
      <c r="H489" s="343">
        <f t="shared" si="41"/>
        <v>60</v>
      </c>
      <c r="I489" s="218"/>
    </row>
    <row r="490" spans="1:9" s="217" customFormat="1" ht="31.5" x14ac:dyDescent="0.25">
      <c r="A490" s="342" t="s">
        <v>147</v>
      </c>
      <c r="B490" s="336">
        <v>903</v>
      </c>
      <c r="C490" s="338" t="s">
        <v>254</v>
      </c>
      <c r="D490" s="338" t="s">
        <v>229</v>
      </c>
      <c r="E490" s="338" t="s">
        <v>948</v>
      </c>
      <c r="F490" s="32" t="s">
        <v>148</v>
      </c>
      <c r="G490" s="343">
        <f t="shared" si="41"/>
        <v>60</v>
      </c>
      <c r="H490" s="343">
        <f t="shared" si="41"/>
        <v>60</v>
      </c>
      <c r="I490" s="218"/>
    </row>
    <row r="491" spans="1:9" s="217" customFormat="1" ht="31.5" x14ac:dyDescent="0.25">
      <c r="A491" s="342" t="s">
        <v>149</v>
      </c>
      <c r="B491" s="336">
        <v>903</v>
      </c>
      <c r="C491" s="338" t="s">
        <v>254</v>
      </c>
      <c r="D491" s="338" t="s">
        <v>229</v>
      </c>
      <c r="E491" s="338" t="s">
        <v>948</v>
      </c>
      <c r="F491" s="32" t="s">
        <v>150</v>
      </c>
      <c r="G491" s="343">
        <f>60</f>
        <v>60</v>
      </c>
      <c r="H491" s="343">
        <f>G491</f>
        <v>60</v>
      </c>
      <c r="I491" s="218"/>
    </row>
    <row r="492" spans="1:9" ht="47.25" x14ac:dyDescent="0.25">
      <c r="A492" s="337" t="s">
        <v>403</v>
      </c>
      <c r="B492" s="337">
        <v>905</v>
      </c>
      <c r="C492" s="338"/>
      <c r="D492" s="338"/>
      <c r="E492" s="338"/>
      <c r="F492" s="338"/>
      <c r="G492" s="339">
        <f>G493+G525</f>
        <v>18309.22</v>
      </c>
      <c r="H492" s="339">
        <f>H493+H525</f>
        <v>15282.82</v>
      </c>
      <c r="I492" s="218"/>
    </row>
    <row r="493" spans="1:9" ht="15.75" x14ac:dyDescent="0.25">
      <c r="A493" s="340" t="s">
        <v>133</v>
      </c>
      <c r="B493" s="337">
        <v>905</v>
      </c>
      <c r="C493" s="341" t="s">
        <v>134</v>
      </c>
      <c r="D493" s="338"/>
      <c r="E493" s="338"/>
      <c r="F493" s="338"/>
      <c r="G493" s="339">
        <f>G494+G511</f>
        <v>17128.22</v>
      </c>
      <c r="H493" s="339">
        <f>H494+H511</f>
        <v>14101.82</v>
      </c>
      <c r="I493" s="218"/>
    </row>
    <row r="494" spans="1:9" ht="63" x14ac:dyDescent="0.25">
      <c r="A494" s="340" t="s">
        <v>165</v>
      </c>
      <c r="B494" s="337">
        <v>905</v>
      </c>
      <c r="C494" s="341" t="s">
        <v>134</v>
      </c>
      <c r="D494" s="341" t="s">
        <v>166</v>
      </c>
      <c r="E494" s="341"/>
      <c r="F494" s="341"/>
      <c r="G494" s="339">
        <f>G495</f>
        <v>10962</v>
      </c>
      <c r="H494" s="339">
        <f>H495</f>
        <v>10962</v>
      </c>
      <c r="I494" s="218"/>
    </row>
    <row r="495" spans="1:9" ht="31.5" x14ac:dyDescent="0.25">
      <c r="A495" s="340" t="s">
        <v>990</v>
      </c>
      <c r="B495" s="337">
        <v>905</v>
      </c>
      <c r="C495" s="341" t="s">
        <v>134</v>
      </c>
      <c r="D495" s="341" t="s">
        <v>166</v>
      </c>
      <c r="E495" s="341" t="s">
        <v>904</v>
      </c>
      <c r="F495" s="341"/>
      <c r="G495" s="339">
        <f>G496+G507</f>
        <v>10962</v>
      </c>
      <c r="H495" s="339">
        <f>H496+H507</f>
        <v>10962</v>
      </c>
      <c r="I495" s="218"/>
    </row>
    <row r="496" spans="1:9" ht="15.75" x14ac:dyDescent="0.25">
      <c r="A496" s="340" t="s">
        <v>991</v>
      </c>
      <c r="B496" s="337">
        <v>905</v>
      </c>
      <c r="C496" s="341" t="s">
        <v>134</v>
      </c>
      <c r="D496" s="341" t="s">
        <v>166</v>
      </c>
      <c r="E496" s="341" t="s">
        <v>905</v>
      </c>
      <c r="F496" s="341"/>
      <c r="G496" s="339">
        <f>G497+G504</f>
        <v>10940</v>
      </c>
      <c r="H496" s="339">
        <f>H497+H504</f>
        <v>10940</v>
      </c>
      <c r="I496" s="218"/>
    </row>
    <row r="497" spans="1:9" ht="31.5" x14ac:dyDescent="0.25">
      <c r="A497" s="342" t="s">
        <v>967</v>
      </c>
      <c r="B497" s="336">
        <v>905</v>
      </c>
      <c r="C497" s="338" t="s">
        <v>134</v>
      </c>
      <c r="D497" s="338" t="s">
        <v>166</v>
      </c>
      <c r="E497" s="338" t="s">
        <v>906</v>
      </c>
      <c r="F497" s="338"/>
      <c r="G497" s="343">
        <f>G498+G500+G502</f>
        <v>10604</v>
      </c>
      <c r="H497" s="343">
        <f>H498+H500+H502</f>
        <v>10604</v>
      </c>
      <c r="I497" s="218"/>
    </row>
    <row r="498" spans="1:9" ht="78.75" x14ac:dyDescent="0.25">
      <c r="A498" s="342" t="s">
        <v>143</v>
      </c>
      <c r="B498" s="336">
        <v>905</v>
      </c>
      <c r="C498" s="338" t="s">
        <v>134</v>
      </c>
      <c r="D498" s="338" t="s">
        <v>166</v>
      </c>
      <c r="E498" s="338" t="s">
        <v>906</v>
      </c>
      <c r="F498" s="338" t="s">
        <v>144</v>
      </c>
      <c r="G498" s="343">
        <f>G499</f>
        <v>10033</v>
      </c>
      <c r="H498" s="343">
        <f>H499</f>
        <v>10033</v>
      </c>
      <c r="I498" s="218"/>
    </row>
    <row r="499" spans="1:9" ht="31.5" x14ac:dyDescent="0.25">
      <c r="A499" s="342" t="s">
        <v>145</v>
      </c>
      <c r="B499" s="336">
        <v>905</v>
      </c>
      <c r="C499" s="338" t="s">
        <v>134</v>
      </c>
      <c r="D499" s="338" t="s">
        <v>166</v>
      </c>
      <c r="E499" s="338" t="s">
        <v>906</v>
      </c>
      <c r="F499" s="338" t="s">
        <v>146</v>
      </c>
      <c r="G499" s="343">
        <f>10033</f>
        <v>10033</v>
      </c>
      <c r="H499" s="343">
        <f t="shared" si="35"/>
        <v>10033</v>
      </c>
      <c r="I499" s="218"/>
    </row>
    <row r="500" spans="1:9" ht="31.5" x14ac:dyDescent="0.25">
      <c r="A500" s="342" t="s">
        <v>147</v>
      </c>
      <c r="B500" s="336">
        <v>905</v>
      </c>
      <c r="C500" s="338" t="s">
        <v>134</v>
      </c>
      <c r="D500" s="338" t="s">
        <v>166</v>
      </c>
      <c r="E500" s="338" t="s">
        <v>906</v>
      </c>
      <c r="F500" s="338" t="s">
        <v>148</v>
      </c>
      <c r="G500" s="343">
        <f>G501</f>
        <v>440</v>
      </c>
      <c r="H500" s="343">
        <f>H501</f>
        <v>440</v>
      </c>
      <c r="I500" s="218"/>
    </row>
    <row r="501" spans="1:9" ht="31.5" x14ac:dyDescent="0.25">
      <c r="A501" s="342" t="s">
        <v>149</v>
      </c>
      <c r="B501" s="336">
        <v>905</v>
      </c>
      <c r="C501" s="338" t="s">
        <v>134</v>
      </c>
      <c r="D501" s="338" t="s">
        <v>166</v>
      </c>
      <c r="E501" s="338" t="s">
        <v>906</v>
      </c>
      <c r="F501" s="338" t="s">
        <v>150</v>
      </c>
      <c r="G501" s="343">
        <f>440</f>
        <v>440</v>
      </c>
      <c r="H501" s="343">
        <f t="shared" si="35"/>
        <v>440</v>
      </c>
      <c r="I501" s="218"/>
    </row>
    <row r="502" spans="1:9" ht="15.75" x14ac:dyDescent="0.25">
      <c r="A502" s="342" t="s">
        <v>151</v>
      </c>
      <c r="B502" s="336">
        <v>905</v>
      </c>
      <c r="C502" s="338" t="s">
        <v>134</v>
      </c>
      <c r="D502" s="338" t="s">
        <v>166</v>
      </c>
      <c r="E502" s="338" t="s">
        <v>906</v>
      </c>
      <c r="F502" s="338" t="s">
        <v>161</v>
      </c>
      <c r="G502" s="343">
        <f>G503</f>
        <v>131</v>
      </c>
      <c r="H502" s="343">
        <f>H503</f>
        <v>131</v>
      </c>
      <c r="I502" s="218"/>
    </row>
    <row r="503" spans="1:9" ht="15.75" x14ac:dyDescent="0.25">
      <c r="A503" s="342" t="s">
        <v>584</v>
      </c>
      <c r="B503" s="336">
        <v>905</v>
      </c>
      <c r="C503" s="338" t="s">
        <v>134</v>
      </c>
      <c r="D503" s="338" t="s">
        <v>166</v>
      </c>
      <c r="E503" s="338" t="s">
        <v>906</v>
      </c>
      <c r="F503" s="338" t="s">
        <v>154</v>
      </c>
      <c r="G503" s="343">
        <f>131</f>
        <v>131</v>
      </c>
      <c r="H503" s="343">
        <f t="shared" si="35"/>
        <v>131</v>
      </c>
      <c r="I503" s="218"/>
    </row>
    <row r="504" spans="1:9" ht="47.25" x14ac:dyDescent="0.25">
      <c r="A504" s="342" t="s">
        <v>885</v>
      </c>
      <c r="B504" s="336">
        <v>905</v>
      </c>
      <c r="C504" s="338" t="s">
        <v>134</v>
      </c>
      <c r="D504" s="338" t="s">
        <v>166</v>
      </c>
      <c r="E504" s="338" t="s">
        <v>908</v>
      </c>
      <c r="F504" s="338"/>
      <c r="G504" s="343">
        <f>G505</f>
        <v>336</v>
      </c>
      <c r="H504" s="343">
        <f>H505</f>
        <v>336</v>
      </c>
      <c r="I504" s="218"/>
    </row>
    <row r="505" spans="1:9" ht="78.75" x14ac:dyDescent="0.25">
      <c r="A505" s="342" t="s">
        <v>143</v>
      </c>
      <c r="B505" s="336">
        <v>905</v>
      </c>
      <c r="C505" s="338" t="s">
        <v>134</v>
      </c>
      <c r="D505" s="338" t="s">
        <v>166</v>
      </c>
      <c r="E505" s="338" t="s">
        <v>908</v>
      </c>
      <c r="F505" s="338" t="s">
        <v>144</v>
      </c>
      <c r="G505" s="343">
        <f>G506</f>
        <v>336</v>
      </c>
      <c r="H505" s="343">
        <f>H506</f>
        <v>336</v>
      </c>
      <c r="I505" s="218"/>
    </row>
    <row r="506" spans="1:9" ht="31.5" x14ac:dyDescent="0.25">
      <c r="A506" s="342" t="s">
        <v>145</v>
      </c>
      <c r="B506" s="336">
        <v>905</v>
      </c>
      <c r="C506" s="338" t="s">
        <v>134</v>
      </c>
      <c r="D506" s="338" t="s">
        <v>166</v>
      </c>
      <c r="E506" s="338" t="s">
        <v>908</v>
      </c>
      <c r="F506" s="338" t="s">
        <v>146</v>
      </c>
      <c r="G506" s="343">
        <f>336</f>
        <v>336</v>
      </c>
      <c r="H506" s="343">
        <f t="shared" ref="H506:H575" si="42">G506</f>
        <v>336</v>
      </c>
      <c r="I506" s="218"/>
    </row>
    <row r="507" spans="1:9" s="217" customFormat="1" ht="31.5" x14ac:dyDescent="0.25">
      <c r="A507" s="340" t="s">
        <v>932</v>
      </c>
      <c r="B507" s="337">
        <v>905</v>
      </c>
      <c r="C507" s="341" t="s">
        <v>134</v>
      </c>
      <c r="D507" s="341" t="s">
        <v>166</v>
      </c>
      <c r="E507" s="341" t="s">
        <v>909</v>
      </c>
      <c r="F507" s="341"/>
      <c r="G507" s="339">
        <f t="shared" ref="G507:H509" si="43">G508</f>
        <v>22</v>
      </c>
      <c r="H507" s="339">
        <f t="shared" si="43"/>
        <v>22</v>
      </c>
      <c r="I507" s="218"/>
    </row>
    <row r="508" spans="1:9" s="217" customFormat="1" ht="94.5" x14ac:dyDescent="0.25">
      <c r="A508" s="31" t="s">
        <v>1409</v>
      </c>
      <c r="B508" s="336">
        <v>905</v>
      </c>
      <c r="C508" s="338" t="s">
        <v>134</v>
      </c>
      <c r="D508" s="338" t="s">
        <v>166</v>
      </c>
      <c r="E508" s="338" t="s">
        <v>1408</v>
      </c>
      <c r="F508" s="338"/>
      <c r="G508" s="343">
        <f t="shared" si="43"/>
        <v>22</v>
      </c>
      <c r="H508" s="343">
        <f t="shared" si="43"/>
        <v>22</v>
      </c>
      <c r="I508" s="218"/>
    </row>
    <row r="509" spans="1:9" s="217" customFormat="1" ht="78.75" x14ac:dyDescent="0.25">
      <c r="A509" s="342" t="s">
        <v>143</v>
      </c>
      <c r="B509" s="336">
        <v>905</v>
      </c>
      <c r="C509" s="338" t="s">
        <v>134</v>
      </c>
      <c r="D509" s="338" t="s">
        <v>166</v>
      </c>
      <c r="E509" s="338" t="s">
        <v>1408</v>
      </c>
      <c r="F509" s="338" t="s">
        <v>144</v>
      </c>
      <c r="G509" s="343">
        <f>G510</f>
        <v>22</v>
      </c>
      <c r="H509" s="343">
        <f t="shared" si="43"/>
        <v>22</v>
      </c>
      <c r="I509" s="218"/>
    </row>
    <row r="510" spans="1:9" s="217" customFormat="1" ht="31.5" x14ac:dyDescent="0.25">
      <c r="A510" s="342" t="s">
        <v>145</v>
      </c>
      <c r="B510" s="336">
        <v>905</v>
      </c>
      <c r="C510" s="338" t="s">
        <v>134</v>
      </c>
      <c r="D510" s="338" t="s">
        <v>166</v>
      </c>
      <c r="E510" s="338" t="s">
        <v>1408</v>
      </c>
      <c r="F510" s="338" t="s">
        <v>146</v>
      </c>
      <c r="G510" s="343">
        <f>22</f>
        <v>22</v>
      </c>
      <c r="H510" s="343">
        <f>G510</f>
        <v>22</v>
      </c>
      <c r="I510" s="218"/>
    </row>
    <row r="511" spans="1:9" ht="15.75" x14ac:dyDescent="0.25">
      <c r="A511" s="340" t="s">
        <v>155</v>
      </c>
      <c r="B511" s="337">
        <v>905</v>
      </c>
      <c r="C511" s="341" t="s">
        <v>134</v>
      </c>
      <c r="D511" s="341" t="s">
        <v>156</v>
      </c>
      <c r="E511" s="341"/>
      <c r="F511" s="341"/>
      <c r="G511" s="339">
        <f>G512+G520</f>
        <v>6166.22</v>
      </c>
      <c r="H511" s="339">
        <f>H512+H520</f>
        <v>3139.82</v>
      </c>
      <c r="I511" s="218"/>
    </row>
    <row r="512" spans="1:9" ht="15.75" x14ac:dyDescent="0.25">
      <c r="A512" s="340" t="s">
        <v>157</v>
      </c>
      <c r="B512" s="337">
        <v>905</v>
      </c>
      <c r="C512" s="341" t="s">
        <v>134</v>
      </c>
      <c r="D512" s="341" t="s">
        <v>156</v>
      </c>
      <c r="E512" s="341" t="s">
        <v>912</v>
      </c>
      <c r="F512" s="341"/>
      <c r="G512" s="339">
        <f>G513</f>
        <v>2900</v>
      </c>
      <c r="H512" s="339">
        <f>H513</f>
        <v>2900</v>
      </c>
      <c r="I512" s="218"/>
    </row>
    <row r="513" spans="1:13" ht="31.5" x14ac:dyDescent="0.25">
      <c r="A513" s="340" t="s">
        <v>916</v>
      </c>
      <c r="B513" s="337">
        <v>905</v>
      </c>
      <c r="C513" s="341" t="s">
        <v>134</v>
      </c>
      <c r="D513" s="341" t="s">
        <v>156</v>
      </c>
      <c r="E513" s="341" t="s">
        <v>911</v>
      </c>
      <c r="F513" s="341"/>
      <c r="G513" s="339">
        <f>G514+G517</f>
        <v>2900</v>
      </c>
      <c r="H513" s="339">
        <f>H514+H517</f>
        <v>2900</v>
      </c>
      <c r="I513" s="218"/>
    </row>
    <row r="514" spans="1:13" ht="47.25" x14ac:dyDescent="0.25">
      <c r="A514" s="342" t="s">
        <v>404</v>
      </c>
      <c r="B514" s="336">
        <v>905</v>
      </c>
      <c r="C514" s="338" t="s">
        <v>134</v>
      </c>
      <c r="D514" s="338" t="s">
        <v>156</v>
      </c>
      <c r="E514" s="338" t="s">
        <v>1169</v>
      </c>
      <c r="F514" s="338"/>
      <c r="G514" s="343">
        <f>G515</f>
        <v>2900</v>
      </c>
      <c r="H514" s="343">
        <f>H515</f>
        <v>2900</v>
      </c>
      <c r="I514" s="218"/>
    </row>
    <row r="515" spans="1:13" ht="31.5" x14ac:dyDescent="0.25">
      <c r="A515" s="342" t="s">
        <v>147</v>
      </c>
      <c r="B515" s="336">
        <v>905</v>
      </c>
      <c r="C515" s="338" t="s">
        <v>134</v>
      </c>
      <c r="D515" s="338" t="s">
        <v>156</v>
      </c>
      <c r="E515" s="338" t="s">
        <v>1169</v>
      </c>
      <c r="F515" s="338" t="s">
        <v>148</v>
      </c>
      <c r="G515" s="343">
        <f>G516</f>
        <v>2900</v>
      </c>
      <c r="H515" s="343">
        <f>H516</f>
        <v>2900</v>
      </c>
      <c r="I515" s="218"/>
    </row>
    <row r="516" spans="1:13" ht="31.5" x14ac:dyDescent="0.25">
      <c r="A516" s="342" t="s">
        <v>149</v>
      </c>
      <c r="B516" s="336">
        <v>905</v>
      </c>
      <c r="C516" s="338" t="s">
        <v>134</v>
      </c>
      <c r="D516" s="338" t="s">
        <v>156</v>
      </c>
      <c r="E516" s="338" t="s">
        <v>1169</v>
      </c>
      <c r="F516" s="338" t="s">
        <v>150</v>
      </c>
      <c r="G516" s="343">
        <f>2900</f>
        <v>2900</v>
      </c>
      <c r="H516" s="343">
        <f t="shared" si="42"/>
        <v>2900</v>
      </c>
      <c r="I516" s="218"/>
    </row>
    <row r="517" spans="1:13" ht="31.5" hidden="1" x14ac:dyDescent="0.25">
      <c r="A517" s="342" t="s">
        <v>1004</v>
      </c>
      <c r="B517" s="336">
        <v>905</v>
      </c>
      <c r="C517" s="338" t="s">
        <v>134</v>
      </c>
      <c r="D517" s="338" t="s">
        <v>156</v>
      </c>
      <c r="E517" s="338" t="s">
        <v>1170</v>
      </c>
      <c r="F517" s="338"/>
      <c r="G517" s="343">
        <f>'Пр.4 ведом.20'!G517</f>
        <v>0</v>
      </c>
      <c r="H517" s="343">
        <f t="shared" si="42"/>
        <v>0</v>
      </c>
      <c r="I517" s="218"/>
    </row>
    <row r="518" spans="1:13" ht="31.5" hidden="1" x14ac:dyDescent="0.25">
      <c r="A518" s="342" t="s">
        <v>147</v>
      </c>
      <c r="B518" s="336">
        <v>905</v>
      </c>
      <c r="C518" s="338" t="s">
        <v>134</v>
      </c>
      <c r="D518" s="338" t="s">
        <v>156</v>
      </c>
      <c r="E518" s="338" t="s">
        <v>1170</v>
      </c>
      <c r="F518" s="338" t="s">
        <v>148</v>
      </c>
      <c r="G518" s="343">
        <f>'Пр.4 ведом.20'!G518</f>
        <v>0</v>
      </c>
      <c r="H518" s="343">
        <f t="shared" si="42"/>
        <v>0</v>
      </c>
      <c r="I518" s="218"/>
    </row>
    <row r="519" spans="1:13" ht="31.5" hidden="1" x14ac:dyDescent="0.25">
      <c r="A519" s="342" t="s">
        <v>149</v>
      </c>
      <c r="B519" s="336">
        <v>905</v>
      </c>
      <c r="C519" s="338" t="s">
        <v>134</v>
      </c>
      <c r="D519" s="338" t="s">
        <v>156</v>
      </c>
      <c r="E519" s="338" t="s">
        <v>1170</v>
      </c>
      <c r="F519" s="338" t="s">
        <v>150</v>
      </c>
      <c r="G519" s="343">
        <f>'Пр.4 ведом.20'!G519</f>
        <v>0</v>
      </c>
      <c r="H519" s="343">
        <f t="shared" si="42"/>
        <v>0</v>
      </c>
      <c r="I519" s="218"/>
    </row>
    <row r="520" spans="1:13" ht="63" x14ac:dyDescent="0.25">
      <c r="A520" s="340" t="s">
        <v>1429</v>
      </c>
      <c r="B520" s="337">
        <v>905</v>
      </c>
      <c r="C520" s="341" t="s">
        <v>134</v>
      </c>
      <c r="D520" s="341" t="s">
        <v>156</v>
      </c>
      <c r="E520" s="341" t="s">
        <v>806</v>
      </c>
      <c r="F520" s="341"/>
      <c r="G520" s="339">
        <f t="shared" ref="G520:H523" si="44">G521</f>
        <v>3266.2200000000003</v>
      </c>
      <c r="H520" s="339">
        <f t="shared" si="44"/>
        <v>239.82000000000016</v>
      </c>
      <c r="I520" s="218"/>
    </row>
    <row r="521" spans="1:13" ht="31.5" x14ac:dyDescent="0.25">
      <c r="A521" s="340" t="s">
        <v>1003</v>
      </c>
      <c r="B521" s="337">
        <v>905</v>
      </c>
      <c r="C521" s="341" t="s">
        <v>134</v>
      </c>
      <c r="D521" s="341" t="s">
        <v>156</v>
      </c>
      <c r="E521" s="341" t="s">
        <v>1182</v>
      </c>
      <c r="F521" s="341"/>
      <c r="G521" s="339">
        <f t="shared" si="44"/>
        <v>3266.2200000000003</v>
      </c>
      <c r="H521" s="339">
        <f t="shared" si="44"/>
        <v>239.82000000000016</v>
      </c>
      <c r="I521" s="218"/>
    </row>
    <row r="522" spans="1:13" ht="31.5" x14ac:dyDescent="0.25">
      <c r="A522" s="342" t="s">
        <v>816</v>
      </c>
      <c r="B522" s="336">
        <v>905</v>
      </c>
      <c r="C522" s="338" t="s">
        <v>134</v>
      </c>
      <c r="D522" s="338" t="s">
        <v>156</v>
      </c>
      <c r="E522" s="338" t="s">
        <v>1183</v>
      </c>
      <c r="F522" s="338"/>
      <c r="G522" s="343">
        <f t="shared" si="44"/>
        <v>3266.2200000000003</v>
      </c>
      <c r="H522" s="343">
        <f t="shared" si="44"/>
        <v>239.82000000000016</v>
      </c>
      <c r="I522" s="218"/>
    </row>
    <row r="523" spans="1:13" ht="31.5" x14ac:dyDescent="0.25">
      <c r="A523" s="342" t="s">
        <v>147</v>
      </c>
      <c r="B523" s="336">
        <v>905</v>
      </c>
      <c r="C523" s="338" t="s">
        <v>134</v>
      </c>
      <c r="D523" s="338" t="s">
        <v>156</v>
      </c>
      <c r="E523" s="338" t="s">
        <v>1183</v>
      </c>
      <c r="F523" s="338" t="s">
        <v>148</v>
      </c>
      <c r="G523" s="343">
        <f t="shared" si="44"/>
        <v>3266.2200000000003</v>
      </c>
      <c r="H523" s="343">
        <f t="shared" si="44"/>
        <v>239.82000000000016</v>
      </c>
      <c r="I523" s="218"/>
    </row>
    <row r="524" spans="1:13" ht="31.5" x14ac:dyDescent="0.25">
      <c r="A524" s="342" t="s">
        <v>149</v>
      </c>
      <c r="B524" s="336">
        <v>905</v>
      </c>
      <c r="C524" s="338" t="s">
        <v>134</v>
      </c>
      <c r="D524" s="338" t="s">
        <v>156</v>
      </c>
      <c r="E524" s="338" t="s">
        <v>1183</v>
      </c>
      <c r="F524" s="338" t="s">
        <v>150</v>
      </c>
      <c r="G524" s="343">
        <f>239.82+3026.4</f>
        <v>3266.2200000000003</v>
      </c>
      <c r="H524" s="343">
        <f>G524-3026.4</f>
        <v>239.82000000000016</v>
      </c>
      <c r="I524" s="218"/>
    </row>
    <row r="525" spans="1:13" ht="15.75" x14ac:dyDescent="0.25">
      <c r="A525" s="41" t="s">
        <v>406</v>
      </c>
      <c r="B525" s="337">
        <v>905</v>
      </c>
      <c r="C525" s="341" t="s">
        <v>250</v>
      </c>
      <c r="D525" s="341"/>
      <c r="E525" s="341"/>
      <c r="F525" s="341"/>
      <c r="G525" s="339">
        <f t="shared" ref="G525:H527" si="45">G526</f>
        <v>1181</v>
      </c>
      <c r="H525" s="339">
        <f t="shared" si="45"/>
        <v>1181</v>
      </c>
      <c r="I525" s="218"/>
      <c r="M525" s="22"/>
    </row>
    <row r="526" spans="1:13" ht="15.75" x14ac:dyDescent="0.25">
      <c r="A526" s="41" t="s">
        <v>407</v>
      </c>
      <c r="B526" s="337">
        <v>905</v>
      </c>
      <c r="C526" s="341" t="s">
        <v>250</v>
      </c>
      <c r="D526" s="341" t="s">
        <v>134</v>
      </c>
      <c r="E526" s="341"/>
      <c r="F526" s="341"/>
      <c r="G526" s="339">
        <f t="shared" si="45"/>
        <v>1181</v>
      </c>
      <c r="H526" s="339">
        <f t="shared" si="45"/>
        <v>1181</v>
      </c>
      <c r="I526" s="218"/>
    </row>
    <row r="527" spans="1:13" ht="15.75" x14ac:dyDescent="0.25">
      <c r="A527" s="340" t="s">
        <v>157</v>
      </c>
      <c r="B527" s="337">
        <v>905</v>
      </c>
      <c r="C527" s="341" t="s">
        <v>250</v>
      </c>
      <c r="D527" s="341" t="s">
        <v>134</v>
      </c>
      <c r="E527" s="341" t="s">
        <v>912</v>
      </c>
      <c r="F527" s="341"/>
      <c r="G527" s="339">
        <f t="shared" si="45"/>
        <v>1181</v>
      </c>
      <c r="H527" s="339">
        <f t="shared" si="45"/>
        <v>1181</v>
      </c>
      <c r="I527" s="218"/>
    </row>
    <row r="528" spans="1:13" ht="31.5" x14ac:dyDescent="0.25">
      <c r="A528" s="340" t="s">
        <v>916</v>
      </c>
      <c r="B528" s="337">
        <v>905</v>
      </c>
      <c r="C528" s="341" t="s">
        <v>250</v>
      </c>
      <c r="D528" s="341" t="s">
        <v>134</v>
      </c>
      <c r="E528" s="341" t="s">
        <v>911</v>
      </c>
      <c r="F528" s="341"/>
      <c r="G528" s="339">
        <f>G529+G532</f>
        <v>1181</v>
      </c>
      <c r="H528" s="339">
        <f>H529+H532</f>
        <v>1181</v>
      </c>
      <c r="I528" s="218"/>
    </row>
    <row r="529" spans="1:9" ht="31.5" x14ac:dyDescent="0.25">
      <c r="A529" s="345" t="s">
        <v>414</v>
      </c>
      <c r="B529" s="336">
        <v>905</v>
      </c>
      <c r="C529" s="338" t="s">
        <v>250</v>
      </c>
      <c r="D529" s="338" t="s">
        <v>134</v>
      </c>
      <c r="E529" s="338" t="s">
        <v>1097</v>
      </c>
      <c r="F529" s="338"/>
      <c r="G529" s="343">
        <f>G530</f>
        <v>270.39999999999998</v>
      </c>
      <c r="H529" s="343">
        <f>H530</f>
        <v>270.39999999999998</v>
      </c>
      <c r="I529" s="218"/>
    </row>
    <row r="530" spans="1:9" ht="31.5" x14ac:dyDescent="0.25">
      <c r="A530" s="342" t="s">
        <v>147</v>
      </c>
      <c r="B530" s="336">
        <v>905</v>
      </c>
      <c r="C530" s="338" t="s">
        <v>250</v>
      </c>
      <c r="D530" s="338" t="s">
        <v>134</v>
      </c>
      <c r="E530" s="338" t="s">
        <v>1097</v>
      </c>
      <c r="F530" s="338" t="s">
        <v>148</v>
      </c>
      <c r="G530" s="343">
        <f>G531</f>
        <v>270.39999999999998</v>
      </c>
      <c r="H530" s="343">
        <f>H531</f>
        <v>270.39999999999998</v>
      </c>
      <c r="I530" s="218"/>
    </row>
    <row r="531" spans="1:9" ht="31.5" x14ac:dyDescent="0.25">
      <c r="A531" s="342" t="s">
        <v>149</v>
      </c>
      <c r="B531" s="336">
        <v>905</v>
      </c>
      <c r="C531" s="338" t="s">
        <v>250</v>
      </c>
      <c r="D531" s="338" t="s">
        <v>134</v>
      </c>
      <c r="E531" s="338" t="s">
        <v>1097</v>
      </c>
      <c r="F531" s="338" t="s">
        <v>150</v>
      </c>
      <c r="G531" s="343">
        <f>270.4</f>
        <v>270.39999999999998</v>
      </c>
      <c r="H531" s="343">
        <f t="shared" si="42"/>
        <v>270.39999999999998</v>
      </c>
      <c r="I531" s="218"/>
    </row>
    <row r="532" spans="1:9" ht="31.5" x14ac:dyDescent="0.25">
      <c r="A532" s="345" t="s">
        <v>1005</v>
      </c>
      <c r="B532" s="336">
        <v>905</v>
      </c>
      <c r="C532" s="338" t="s">
        <v>250</v>
      </c>
      <c r="D532" s="338" t="s">
        <v>134</v>
      </c>
      <c r="E532" s="338" t="s">
        <v>1098</v>
      </c>
      <c r="F532" s="338"/>
      <c r="G532" s="343">
        <f>G533</f>
        <v>910.6</v>
      </c>
      <c r="H532" s="343">
        <f>H533</f>
        <v>910.6</v>
      </c>
      <c r="I532" s="218"/>
    </row>
    <row r="533" spans="1:9" ht="31.5" x14ac:dyDescent="0.25">
      <c r="A533" s="342" t="s">
        <v>147</v>
      </c>
      <c r="B533" s="336">
        <v>905</v>
      </c>
      <c r="C533" s="338" t="s">
        <v>250</v>
      </c>
      <c r="D533" s="338" t="s">
        <v>134</v>
      </c>
      <c r="E533" s="338" t="s">
        <v>1098</v>
      </c>
      <c r="F533" s="338" t="s">
        <v>148</v>
      </c>
      <c r="G533" s="343">
        <f>G534</f>
        <v>910.6</v>
      </c>
      <c r="H533" s="343">
        <f>H534</f>
        <v>910.6</v>
      </c>
      <c r="I533" s="218"/>
    </row>
    <row r="534" spans="1:9" ht="31.5" x14ac:dyDescent="0.25">
      <c r="A534" s="342" t="s">
        <v>149</v>
      </c>
      <c r="B534" s="336">
        <v>905</v>
      </c>
      <c r="C534" s="338" t="s">
        <v>250</v>
      </c>
      <c r="D534" s="338" t="s">
        <v>134</v>
      </c>
      <c r="E534" s="338" t="s">
        <v>1098</v>
      </c>
      <c r="F534" s="338" t="s">
        <v>150</v>
      </c>
      <c r="G534" s="343">
        <f>910.6</f>
        <v>910.6</v>
      </c>
      <c r="H534" s="343">
        <f t="shared" si="42"/>
        <v>910.6</v>
      </c>
      <c r="I534" s="218"/>
    </row>
    <row r="535" spans="1:9" ht="31.5" x14ac:dyDescent="0.25">
      <c r="A535" s="337" t="s">
        <v>419</v>
      </c>
      <c r="B535" s="337">
        <v>906</v>
      </c>
      <c r="C535" s="341"/>
      <c r="D535" s="341"/>
      <c r="E535" s="341"/>
      <c r="F535" s="341"/>
      <c r="G535" s="339">
        <f>G546+G536</f>
        <v>363685</v>
      </c>
      <c r="H535" s="339">
        <f>H546+H536</f>
        <v>363693.5</v>
      </c>
      <c r="I535" s="218"/>
    </row>
    <row r="536" spans="1:9" ht="15.75" x14ac:dyDescent="0.25">
      <c r="A536" s="340" t="s">
        <v>133</v>
      </c>
      <c r="B536" s="337">
        <v>906</v>
      </c>
      <c r="C536" s="341" t="s">
        <v>134</v>
      </c>
      <c r="D536" s="341"/>
      <c r="E536" s="341"/>
      <c r="F536" s="341"/>
      <c r="G536" s="339">
        <f t="shared" ref="G536:H539" si="46">G537</f>
        <v>50</v>
      </c>
      <c r="H536" s="339">
        <f t="shared" si="46"/>
        <v>50</v>
      </c>
      <c r="I536" s="218"/>
    </row>
    <row r="537" spans="1:9" ht="15.75" x14ac:dyDescent="0.25">
      <c r="A537" s="34" t="s">
        <v>155</v>
      </c>
      <c r="B537" s="337">
        <v>906</v>
      </c>
      <c r="C537" s="341" t="s">
        <v>134</v>
      </c>
      <c r="D537" s="341" t="s">
        <v>156</v>
      </c>
      <c r="E537" s="341"/>
      <c r="F537" s="341"/>
      <c r="G537" s="339">
        <f t="shared" si="46"/>
        <v>50</v>
      </c>
      <c r="H537" s="339">
        <f t="shared" si="46"/>
        <v>50</v>
      </c>
      <c r="I537" s="218"/>
    </row>
    <row r="538" spans="1:9" ht="47.25" x14ac:dyDescent="0.25">
      <c r="A538" s="340" t="s">
        <v>1424</v>
      </c>
      <c r="B538" s="337">
        <v>906</v>
      </c>
      <c r="C538" s="341" t="s">
        <v>134</v>
      </c>
      <c r="D538" s="341" t="s">
        <v>156</v>
      </c>
      <c r="E538" s="341" t="s">
        <v>351</v>
      </c>
      <c r="F538" s="341"/>
      <c r="G538" s="339">
        <f t="shared" si="46"/>
        <v>50</v>
      </c>
      <c r="H538" s="339">
        <f t="shared" si="46"/>
        <v>50</v>
      </c>
      <c r="I538" s="218"/>
    </row>
    <row r="539" spans="1:9" ht="31.5" x14ac:dyDescent="0.25">
      <c r="A539" s="225" t="s">
        <v>1225</v>
      </c>
      <c r="B539" s="337">
        <v>906</v>
      </c>
      <c r="C539" s="341" t="s">
        <v>134</v>
      </c>
      <c r="D539" s="341" t="s">
        <v>156</v>
      </c>
      <c r="E539" s="341" t="s">
        <v>1226</v>
      </c>
      <c r="F539" s="341"/>
      <c r="G539" s="339">
        <f t="shared" si="46"/>
        <v>50</v>
      </c>
      <c r="H539" s="339">
        <f t="shared" si="46"/>
        <v>50</v>
      </c>
      <c r="I539" s="218"/>
    </row>
    <row r="540" spans="1:9" ht="31.5" x14ac:dyDescent="0.25">
      <c r="A540" s="98" t="s">
        <v>352</v>
      </c>
      <c r="B540" s="336">
        <v>906</v>
      </c>
      <c r="C540" s="338" t="s">
        <v>134</v>
      </c>
      <c r="D540" s="338" t="s">
        <v>156</v>
      </c>
      <c r="E540" s="338" t="s">
        <v>1227</v>
      </c>
      <c r="F540" s="338"/>
      <c r="G540" s="343">
        <f>G541</f>
        <v>50</v>
      </c>
      <c r="H540" s="343">
        <f>H541</f>
        <v>50</v>
      </c>
      <c r="I540" s="218"/>
    </row>
    <row r="541" spans="1:9" ht="31.5" x14ac:dyDescent="0.25">
      <c r="A541" s="342" t="s">
        <v>147</v>
      </c>
      <c r="B541" s="336">
        <v>906</v>
      </c>
      <c r="C541" s="338" t="s">
        <v>134</v>
      </c>
      <c r="D541" s="338" t="s">
        <v>156</v>
      </c>
      <c r="E541" s="338" t="s">
        <v>1227</v>
      </c>
      <c r="F541" s="338" t="s">
        <v>148</v>
      </c>
      <c r="G541" s="343">
        <f>G542</f>
        <v>50</v>
      </c>
      <c r="H541" s="343">
        <f>H542</f>
        <v>50</v>
      </c>
      <c r="I541" s="218"/>
    </row>
    <row r="542" spans="1:9" ht="31.5" x14ac:dyDescent="0.25">
      <c r="A542" s="342" t="s">
        <v>149</v>
      </c>
      <c r="B542" s="336">
        <v>906</v>
      </c>
      <c r="C542" s="338" t="s">
        <v>134</v>
      </c>
      <c r="D542" s="338" t="s">
        <v>156</v>
      </c>
      <c r="E542" s="338" t="s">
        <v>1227</v>
      </c>
      <c r="F542" s="338" t="s">
        <v>150</v>
      </c>
      <c r="G542" s="343">
        <f>50</f>
        <v>50</v>
      </c>
      <c r="H542" s="343">
        <f t="shared" si="42"/>
        <v>50</v>
      </c>
      <c r="I542" s="218"/>
    </row>
    <row r="543" spans="1:9" ht="31.5" hidden="1" x14ac:dyDescent="0.25">
      <c r="A543" s="31" t="s">
        <v>796</v>
      </c>
      <c r="B543" s="336">
        <v>906</v>
      </c>
      <c r="C543" s="338" t="s">
        <v>134</v>
      </c>
      <c r="D543" s="338" t="s">
        <v>156</v>
      </c>
      <c r="E543" s="338" t="s">
        <v>1260</v>
      </c>
      <c r="F543" s="338"/>
      <c r="G543" s="343">
        <f>'Пр.4 ведом.20'!G549</f>
        <v>0</v>
      </c>
      <c r="H543" s="343">
        <f t="shared" si="42"/>
        <v>0</v>
      </c>
      <c r="I543" s="218"/>
    </row>
    <row r="544" spans="1:9" ht="31.5" hidden="1" x14ac:dyDescent="0.25">
      <c r="A544" s="342" t="s">
        <v>147</v>
      </c>
      <c r="B544" s="336">
        <v>906</v>
      </c>
      <c r="C544" s="338" t="s">
        <v>134</v>
      </c>
      <c r="D544" s="338" t="s">
        <v>156</v>
      </c>
      <c r="E544" s="338" t="s">
        <v>1260</v>
      </c>
      <c r="F544" s="338" t="s">
        <v>148</v>
      </c>
      <c r="G544" s="343">
        <f>'Пр.4 ведом.20'!G550</f>
        <v>0</v>
      </c>
      <c r="H544" s="343">
        <f t="shared" si="42"/>
        <v>0</v>
      </c>
      <c r="I544" s="218"/>
    </row>
    <row r="545" spans="1:9" ht="31.5" hidden="1" x14ac:dyDescent="0.25">
      <c r="A545" s="342" t="s">
        <v>149</v>
      </c>
      <c r="B545" s="336">
        <v>906</v>
      </c>
      <c r="C545" s="338" t="s">
        <v>134</v>
      </c>
      <c r="D545" s="338" t="s">
        <v>156</v>
      </c>
      <c r="E545" s="338" t="s">
        <v>1260</v>
      </c>
      <c r="F545" s="338" t="s">
        <v>150</v>
      </c>
      <c r="G545" s="343">
        <f>'Пр.4 ведом.20'!G551</f>
        <v>0</v>
      </c>
      <c r="H545" s="343">
        <f t="shared" si="42"/>
        <v>0</v>
      </c>
      <c r="I545" s="218"/>
    </row>
    <row r="546" spans="1:9" ht="15.75" x14ac:dyDescent="0.25">
      <c r="A546" s="340" t="s">
        <v>279</v>
      </c>
      <c r="B546" s="337">
        <v>906</v>
      </c>
      <c r="C546" s="341" t="s">
        <v>280</v>
      </c>
      <c r="D546" s="341"/>
      <c r="E546" s="341"/>
      <c r="F546" s="341"/>
      <c r="G546" s="339">
        <f>G547+G618+G736+G746+G702</f>
        <v>363635</v>
      </c>
      <c r="H546" s="339">
        <f>H547+H618+H736+H746+H702</f>
        <v>363643.5</v>
      </c>
      <c r="I546" s="218"/>
    </row>
    <row r="547" spans="1:9" ht="15.75" x14ac:dyDescent="0.25">
      <c r="A547" s="340" t="s">
        <v>420</v>
      </c>
      <c r="B547" s="337">
        <v>906</v>
      </c>
      <c r="C547" s="341" t="s">
        <v>280</v>
      </c>
      <c r="D547" s="341" t="s">
        <v>134</v>
      </c>
      <c r="E547" s="341"/>
      <c r="F547" s="341"/>
      <c r="G547" s="339">
        <f>G548+G601+G613</f>
        <v>109329.5</v>
      </c>
      <c r="H547" s="339">
        <f>H548+H601+H613</f>
        <v>109329.5</v>
      </c>
      <c r="I547" s="218"/>
    </row>
    <row r="548" spans="1:9" ht="47.25" x14ac:dyDescent="0.25">
      <c r="A548" s="340" t="s">
        <v>1430</v>
      </c>
      <c r="B548" s="337">
        <v>906</v>
      </c>
      <c r="C548" s="341" t="s">
        <v>280</v>
      </c>
      <c r="D548" s="341" t="s">
        <v>134</v>
      </c>
      <c r="E548" s="341" t="s">
        <v>422</v>
      </c>
      <c r="F548" s="341"/>
      <c r="G548" s="339">
        <f>G549+G573</f>
        <v>108865.2</v>
      </c>
      <c r="H548" s="339">
        <f>H549+H573</f>
        <v>108865.2</v>
      </c>
      <c r="I548" s="218"/>
    </row>
    <row r="549" spans="1:9" ht="31.5" x14ac:dyDescent="0.25">
      <c r="A549" s="340" t="s">
        <v>423</v>
      </c>
      <c r="B549" s="337">
        <v>906</v>
      </c>
      <c r="C549" s="341" t="s">
        <v>280</v>
      </c>
      <c r="D549" s="341" t="s">
        <v>134</v>
      </c>
      <c r="E549" s="341" t="s">
        <v>424</v>
      </c>
      <c r="F549" s="341"/>
      <c r="G549" s="339">
        <f>G550+G557</f>
        <v>97867.5</v>
      </c>
      <c r="H549" s="339">
        <f>H550+H557</f>
        <v>97867.5</v>
      </c>
      <c r="I549" s="218"/>
    </row>
    <row r="550" spans="1:9" ht="31.5" x14ac:dyDescent="0.25">
      <c r="A550" s="340" t="s">
        <v>1028</v>
      </c>
      <c r="B550" s="337">
        <v>906</v>
      </c>
      <c r="C550" s="341" t="s">
        <v>280</v>
      </c>
      <c r="D550" s="341" t="s">
        <v>134</v>
      </c>
      <c r="E550" s="341" t="s">
        <v>1006</v>
      </c>
      <c r="F550" s="341"/>
      <c r="G550" s="339">
        <f>G551+G554</f>
        <v>12027</v>
      </c>
      <c r="H550" s="339">
        <f>H551+H554</f>
        <v>12027</v>
      </c>
      <c r="I550" s="218"/>
    </row>
    <row r="551" spans="1:9" ht="39.75" customHeight="1" x14ac:dyDescent="0.25">
      <c r="A551" s="342" t="s">
        <v>1063</v>
      </c>
      <c r="B551" s="336">
        <v>906</v>
      </c>
      <c r="C551" s="338" t="s">
        <v>280</v>
      </c>
      <c r="D551" s="338" t="s">
        <v>134</v>
      </c>
      <c r="E551" s="338" t="s">
        <v>1062</v>
      </c>
      <c r="F551" s="338"/>
      <c r="G551" s="343">
        <f>G552</f>
        <v>7224.3</v>
      </c>
      <c r="H551" s="343">
        <f>H552</f>
        <v>7224.3</v>
      </c>
      <c r="I551" s="218"/>
    </row>
    <row r="552" spans="1:9" ht="31.5" x14ac:dyDescent="0.25">
      <c r="A552" s="342" t="s">
        <v>288</v>
      </c>
      <c r="B552" s="336">
        <v>906</v>
      </c>
      <c r="C552" s="338" t="s">
        <v>280</v>
      </c>
      <c r="D552" s="338" t="s">
        <v>134</v>
      </c>
      <c r="E552" s="338" t="s">
        <v>1062</v>
      </c>
      <c r="F552" s="338" t="s">
        <v>289</v>
      </c>
      <c r="G552" s="343">
        <f>G553</f>
        <v>7224.3</v>
      </c>
      <c r="H552" s="343">
        <f>H553</f>
        <v>7224.3</v>
      </c>
      <c r="I552" s="218"/>
    </row>
    <row r="553" spans="1:9" ht="15.75" x14ac:dyDescent="0.25">
      <c r="A553" s="342" t="s">
        <v>290</v>
      </c>
      <c r="B553" s="336">
        <v>906</v>
      </c>
      <c r="C553" s="338" t="s">
        <v>280</v>
      </c>
      <c r="D553" s="338" t="s">
        <v>134</v>
      </c>
      <c r="E553" s="338" t="s">
        <v>1062</v>
      </c>
      <c r="F553" s="338" t="s">
        <v>291</v>
      </c>
      <c r="G553" s="343">
        <f>7224.3</f>
        <v>7224.3</v>
      </c>
      <c r="H553" s="343">
        <f t="shared" si="42"/>
        <v>7224.3</v>
      </c>
      <c r="I553" s="218"/>
    </row>
    <row r="554" spans="1:9" s="217" customFormat="1" ht="63" x14ac:dyDescent="0.25">
      <c r="A554" s="342" t="s">
        <v>1238</v>
      </c>
      <c r="B554" s="336">
        <v>906</v>
      </c>
      <c r="C554" s="338" t="s">
        <v>280</v>
      </c>
      <c r="D554" s="338" t="s">
        <v>134</v>
      </c>
      <c r="E554" s="338" t="s">
        <v>1064</v>
      </c>
      <c r="F554" s="338"/>
      <c r="G554" s="343">
        <f>G555</f>
        <v>4802.7</v>
      </c>
      <c r="H554" s="343">
        <f>H555</f>
        <v>4802.7</v>
      </c>
      <c r="I554" s="218"/>
    </row>
    <row r="555" spans="1:9" s="217" customFormat="1" ht="31.5" x14ac:dyDescent="0.25">
      <c r="A555" s="342" t="s">
        <v>288</v>
      </c>
      <c r="B555" s="336">
        <v>906</v>
      </c>
      <c r="C555" s="338" t="s">
        <v>280</v>
      </c>
      <c r="D555" s="338" t="s">
        <v>134</v>
      </c>
      <c r="E555" s="338" t="s">
        <v>1064</v>
      </c>
      <c r="F555" s="338" t="s">
        <v>289</v>
      </c>
      <c r="G555" s="343">
        <f>G556</f>
        <v>4802.7</v>
      </c>
      <c r="H555" s="343">
        <f>H556</f>
        <v>4802.7</v>
      </c>
      <c r="I555" s="218"/>
    </row>
    <row r="556" spans="1:9" s="217" customFormat="1" ht="15.75" x14ac:dyDescent="0.25">
      <c r="A556" s="342" t="s">
        <v>290</v>
      </c>
      <c r="B556" s="336">
        <v>906</v>
      </c>
      <c r="C556" s="338" t="s">
        <v>280</v>
      </c>
      <c r="D556" s="338" t="s">
        <v>134</v>
      </c>
      <c r="E556" s="338" t="s">
        <v>1064</v>
      </c>
      <c r="F556" s="338" t="s">
        <v>291</v>
      </c>
      <c r="G556" s="343">
        <f>4802.7</f>
        <v>4802.7</v>
      </c>
      <c r="H556" s="343">
        <f t="shared" ref="H556" si="47">G556</f>
        <v>4802.7</v>
      </c>
      <c r="I556" s="218"/>
    </row>
    <row r="557" spans="1:9" ht="47.25" x14ac:dyDescent="0.25">
      <c r="A557" s="340" t="s">
        <v>971</v>
      </c>
      <c r="B557" s="337">
        <v>906</v>
      </c>
      <c r="C557" s="341" t="s">
        <v>280</v>
      </c>
      <c r="D557" s="341" t="s">
        <v>134</v>
      </c>
      <c r="E557" s="341" t="s">
        <v>1021</v>
      </c>
      <c r="F557" s="341"/>
      <c r="G557" s="44">
        <f>G561+G564+G567+G570+G558</f>
        <v>85840.5</v>
      </c>
      <c r="H557" s="44">
        <f>H561+H564+H567+H570+H558</f>
        <v>85840.5</v>
      </c>
      <c r="I557" s="218"/>
    </row>
    <row r="558" spans="1:9" s="331" customFormat="1" ht="94.5" x14ac:dyDescent="0.25">
      <c r="A558" s="31" t="s">
        <v>309</v>
      </c>
      <c r="B558" s="336">
        <v>906</v>
      </c>
      <c r="C558" s="338" t="s">
        <v>280</v>
      </c>
      <c r="D558" s="338" t="s">
        <v>134</v>
      </c>
      <c r="E558" s="338" t="s">
        <v>1519</v>
      </c>
      <c r="F558" s="338"/>
      <c r="G558" s="344">
        <f>G559</f>
        <v>2916.1</v>
      </c>
      <c r="H558" s="344">
        <f>H559</f>
        <v>2916.1</v>
      </c>
      <c r="I558" s="332"/>
    </row>
    <row r="559" spans="1:9" s="331" customFormat="1" ht="31.5" x14ac:dyDescent="0.25">
      <c r="A559" s="342" t="s">
        <v>288</v>
      </c>
      <c r="B559" s="336">
        <v>906</v>
      </c>
      <c r="C559" s="338" t="s">
        <v>280</v>
      </c>
      <c r="D559" s="338" t="s">
        <v>134</v>
      </c>
      <c r="E559" s="338" t="s">
        <v>1519</v>
      </c>
      <c r="F559" s="338" t="s">
        <v>289</v>
      </c>
      <c r="G559" s="344">
        <f>G560</f>
        <v>2916.1</v>
      </c>
      <c r="H559" s="344">
        <f>H560</f>
        <v>2916.1</v>
      </c>
      <c r="I559" s="332"/>
    </row>
    <row r="560" spans="1:9" s="331" customFormat="1" ht="15.75" x14ac:dyDescent="0.25">
      <c r="A560" s="342" t="s">
        <v>290</v>
      </c>
      <c r="B560" s="336">
        <v>906</v>
      </c>
      <c r="C560" s="338" t="s">
        <v>280</v>
      </c>
      <c r="D560" s="338" t="s">
        <v>134</v>
      </c>
      <c r="E560" s="338" t="s">
        <v>1519</v>
      </c>
      <c r="F560" s="338" t="s">
        <v>291</v>
      </c>
      <c r="G560" s="344">
        <v>2916.1</v>
      </c>
      <c r="H560" s="344">
        <v>2916.1</v>
      </c>
      <c r="I560" s="332"/>
    </row>
    <row r="561" spans="1:9" ht="66.75" customHeight="1" x14ac:dyDescent="0.25">
      <c r="A561" s="31" t="s">
        <v>305</v>
      </c>
      <c r="B561" s="336">
        <v>906</v>
      </c>
      <c r="C561" s="338" t="s">
        <v>280</v>
      </c>
      <c r="D561" s="338" t="s">
        <v>134</v>
      </c>
      <c r="E561" s="338" t="s">
        <v>1020</v>
      </c>
      <c r="F561" s="338"/>
      <c r="G561" s="343">
        <f>G562</f>
        <v>559.70000000000005</v>
      </c>
      <c r="H561" s="343">
        <f>H562</f>
        <v>559.70000000000005</v>
      </c>
      <c r="I561" s="218"/>
    </row>
    <row r="562" spans="1:9" ht="31.5" x14ac:dyDescent="0.25">
      <c r="A562" s="342" t="s">
        <v>288</v>
      </c>
      <c r="B562" s="336">
        <v>906</v>
      </c>
      <c r="C562" s="338" t="s">
        <v>280</v>
      </c>
      <c r="D562" s="338" t="s">
        <v>134</v>
      </c>
      <c r="E562" s="338" t="s">
        <v>1020</v>
      </c>
      <c r="F562" s="338" t="s">
        <v>289</v>
      </c>
      <c r="G562" s="343">
        <f>G563</f>
        <v>559.70000000000005</v>
      </c>
      <c r="H562" s="343">
        <f>H563</f>
        <v>559.70000000000005</v>
      </c>
      <c r="I562" s="218"/>
    </row>
    <row r="563" spans="1:9" ht="15.75" x14ac:dyDescent="0.25">
      <c r="A563" s="342" t="s">
        <v>290</v>
      </c>
      <c r="B563" s="336">
        <v>906</v>
      </c>
      <c r="C563" s="338" t="s">
        <v>280</v>
      </c>
      <c r="D563" s="338" t="s">
        <v>134</v>
      </c>
      <c r="E563" s="338" t="s">
        <v>1020</v>
      </c>
      <c r="F563" s="338" t="s">
        <v>291</v>
      </c>
      <c r="G563" s="343">
        <f>559.7</f>
        <v>559.70000000000005</v>
      </c>
      <c r="H563" s="343">
        <f t="shared" si="42"/>
        <v>559.70000000000005</v>
      </c>
      <c r="I563" s="218"/>
    </row>
    <row r="564" spans="1:9" ht="63" x14ac:dyDescent="0.25">
      <c r="A564" s="31" t="s">
        <v>307</v>
      </c>
      <c r="B564" s="336">
        <v>906</v>
      </c>
      <c r="C564" s="338" t="s">
        <v>280</v>
      </c>
      <c r="D564" s="338" t="s">
        <v>134</v>
      </c>
      <c r="E564" s="338" t="s">
        <v>1023</v>
      </c>
      <c r="F564" s="338"/>
      <c r="G564" s="343">
        <f>G565</f>
        <v>1629.3</v>
      </c>
      <c r="H564" s="343">
        <f>H565</f>
        <v>1629.3</v>
      </c>
      <c r="I564" s="218"/>
    </row>
    <row r="565" spans="1:9" ht="31.5" x14ac:dyDescent="0.25">
      <c r="A565" s="342" t="s">
        <v>288</v>
      </c>
      <c r="B565" s="336">
        <v>906</v>
      </c>
      <c r="C565" s="338" t="s">
        <v>280</v>
      </c>
      <c r="D565" s="338" t="s">
        <v>134</v>
      </c>
      <c r="E565" s="338" t="s">
        <v>1023</v>
      </c>
      <c r="F565" s="338" t="s">
        <v>289</v>
      </c>
      <c r="G565" s="343">
        <f>G566</f>
        <v>1629.3</v>
      </c>
      <c r="H565" s="343">
        <f>H566</f>
        <v>1629.3</v>
      </c>
      <c r="I565" s="218"/>
    </row>
    <row r="566" spans="1:9" ht="15.75" x14ac:dyDescent="0.25">
      <c r="A566" s="342" t="s">
        <v>290</v>
      </c>
      <c r="B566" s="336">
        <v>906</v>
      </c>
      <c r="C566" s="338" t="s">
        <v>280</v>
      </c>
      <c r="D566" s="338" t="s">
        <v>134</v>
      </c>
      <c r="E566" s="338" t="s">
        <v>1023</v>
      </c>
      <c r="F566" s="338" t="s">
        <v>291</v>
      </c>
      <c r="G566" s="343">
        <f>1629.3</f>
        <v>1629.3</v>
      </c>
      <c r="H566" s="343">
        <f t="shared" si="42"/>
        <v>1629.3</v>
      </c>
      <c r="I566" s="218"/>
    </row>
    <row r="567" spans="1:9" ht="94.5" x14ac:dyDescent="0.25">
      <c r="A567" s="31" t="s">
        <v>437</v>
      </c>
      <c r="B567" s="336">
        <v>906</v>
      </c>
      <c r="C567" s="338" t="s">
        <v>280</v>
      </c>
      <c r="D567" s="338" t="s">
        <v>134</v>
      </c>
      <c r="E567" s="338" t="s">
        <v>1022</v>
      </c>
      <c r="F567" s="338"/>
      <c r="G567" s="343">
        <f>G568</f>
        <v>80735.399999999994</v>
      </c>
      <c r="H567" s="343">
        <f>H568</f>
        <v>80735.399999999994</v>
      </c>
      <c r="I567" s="218"/>
    </row>
    <row r="568" spans="1:9" ht="31.5" x14ac:dyDescent="0.25">
      <c r="A568" s="342" t="s">
        <v>288</v>
      </c>
      <c r="B568" s="336">
        <v>906</v>
      </c>
      <c r="C568" s="338" t="s">
        <v>280</v>
      </c>
      <c r="D568" s="338" t="s">
        <v>134</v>
      </c>
      <c r="E568" s="338" t="s">
        <v>1022</v>
      </c>
      <c r="F568" s="338" t="s">
        <v>289</v>
      </c>
      <c r="G568" s="343">
        <f>G569</f>
        <v>80735.399999999994</v>
      </c>
      <c r="H568" s="343">
        <f>H569</f>
        <v>80735.399999999994</v>
      </c>
      <c r="I568" s="218"/>
    </row>
    <row r="569" spans="1:9" ht="15.75" x14ac:dyDescent="0.25">
      <c r="A569" s="342" t="s">
        <v>290</v>
      </c>
      <c r="B569" s="336">
        <v>906</v>
      </c>
      <c r="C569" s="338" t="s">
        <v>280</v>
      </c>
      <c r="D569" s="338" t="s">
        <v>134</v>
      </c>
      <c r="E569" s="338" t="s">
        <v>1022</v>
      </c>
      <c r="F569" s="338" t="s">
        <v>291</v>
      </c>
      <c r="G569" s="343">
        <f>80735.4</f>
        <v>80735.399999999994</v>
      </c>
      <c r="H569" s="343">
        <f t="shared" si="42"/>
        <v>80735.399999999994</v>
      </c>
      <c r="I569" s="218"/>
    </row>
    <row r="570" spans="1:9" ht="94.5" hidden="1" x14ac:dyDescent="0.25">
      <c r="A570" s="31" t="s">
        <v>309</v>
      </c>
      <c r="B570" s="336">
        <v>906</v>
      </c>
      <c r="C570" s="338" t="s">
        <v>280</v>
      </c>
      <c r="D570" s="338" t="s">
        <v>134</v>
      </c>
      <c r="E570" s="338" t="s">
        <v>1024</v>
      </c>
      <c r="F570" s="338"/>
      <c r="G570" s="343">
        <f>G571</f>
        <v>0</v>
      </c>
      <c r="H570" s="343">
        <f>H571</f>
        <v>0</v>
      </c>
      <c r="I570" s="218"/>
    </row>
    <row r="571" spans="1:9" ht="31.5" hidden="1" x14ac:dyDescent="0.25">
      <c r="A571" s="342" t="s">
        <v>288</v>
      </c>
      <c r="B571" s="336">
        <v>906</v>
      </c>
      <c r="C571" s="338" t="s">
        <v>280</v>
      </c>
      <c r="D571" s="338" t="s">
        <v>134</v>
      </c>
      <c r="E571" s="338" t="s">
        <v>1024</v>
      </c>
      <c r="F571" s="338" t="s">
        <v>289</v>
      </c>
      <c r="G571" s="343">
        <f>G572</f>
        <v>0</v>
      </c>
      <c r="H571" s="343">
        <f>H572</f>
        <v>0</v>
      </c>
      <c r="I571" s="218"/>
    </row>
    <row r="572" spans="1:9" ht="15.75" hidden="1" x14ac:dyDescent="0.25">
      <c r="A572" s="342" t="s">
        <v>290</v>
      </c>
      <c r="B572" s="336">
        <v>906</v>
      </c>
      <c r="C572" s="338" t="s">
        <v>280</v>
      </c>
      <c r="D572" s="338" t="s">
        <v>134</v>
      </c>
      <c r="E572" s="338" t="s">
        <v>1024</v>
      </c>
      <c r="F572" s="338" t="s">
        <v>291</v>
      </c>
      <c r="G572" s="343"/>
      <c r="H572" s="343"/>
      <c r="I572" s="218"/>
    </row>
    <row r="573" spans="1:9" ht="31.5" x14ac:dyDescent="0.25">
      <c r="A573" s="340" t="s">
        <v>427</v>
      </c>
      <c r="B573" s="337">
        <v>906</v>
      </c>
      <c r="C573" s="341" t="s">
        <v>280</v>
      </c>
      <c r="D573" s="341" t="s">
        <v>134</v>
      </c>
      <c r="E573" s="341" t="s">
        <v>428</v>
      </c>
      <c r="F573" s="341"/>
      <c r="G573" s="339">
        <f>G574+G584+G594+G606</f>
        <v>10997.7</v>
      </c>
      <c r="H573" s="339">
        <f>H574+H584+H594+H606</f>
        <v>10997.7</v>
      </c>
      <c r="I573" s="218"/>
    </row>
    <row r="574" spans="1:9" ht="31.5" x14ac:dyDescent="0.25">
      <c r="A574" s="340" t="s">
        <v>1007</v>
      </c>
      <c r="B574" s="337">
        <v>906</v>
      </c>
      <c r="C574" s="341" t="s">
        <v>280</v>
      </c>
      <c r="D574" s="341" t="s">
        <v>134</v>
      </c>
      <c r="E574" s="341" t="s">
        <v>1008</v>
      </c>
      <c r="F574" s="341"/>
      <c r="G574" s="339">
        <f>G575+G578+G581</f>
        <v>4430</v>
      </c>
      <c r="H574" s="339">
        <f>H575+H578+H581</f>
        <v>4430</v>
      </c>
      <c r="I574" s="218"/>
    </row>
    <row r="575" spans="1:9" ht="31.5" hidden="1" x14ac:dyDescent="0.25">
      <c r="A575" s="342" t="s">
        <v>294</v>
      </c>
      <c r="B575" s="336">
        <v>906</v>
      </c>
      <c r="C575" s="338" t="s">
        <v>280</v>
      </c>
      <c r="D575" s="338" t="s">
        <v>134</v>
      </c>
      <c r="E575" s="338" t="s">
        <v>1009</v>
      </c>
      <c r="F575" s="338"/>
      <c r="G575" s="343">
        <f>'Пр.4 ведом.20'!G581</f>
        <v>0</v>
      </c>
      <c r="H575" s="343">
        <f t="shared" si="42"/>
        <v>0</v>
      </c>
      <c r="I575" s="218"/>
    </row>
    <row r="576" spans="1:9" ht="31.5" hidden="1" x14ac:dyDescent="0.25">
      <c r="A576" s="342" t="s">
        <v>288</v>
      </c>
      <c r="B576" s="336">
        <v>906</v>
      </c>
      <c r="C576" s="338" t="s">
        <v>280</v>
      </c>
      <c r="D576" s="338" t="s">
        <v>134</v>
      </c>
      <c r="E576" s="338" t="s">
        <v>1009</v>
      </c>
      <c r="F576" s="338" t="s">
        <v>289</v>
      </c>
      <c r="G576" s="343">
        <f>'Пр.4 ведом.20'!G582</f>
        <v>0</v>
      </c>
      <c r="H576" s="343">
        <f t="shared" ref="H576:H652" si="48">G576</f>
        <v>0</v>
      </c>
      <c r="I576" s="218"/>
    </row>
    <row r="577" spans="1:9" ht="15.75" hidden="1" x14ac:dyDescent="0.25">
      <c r="A577" s="342" t="s">
        <v>290</v>
      </c>
      <c r="B577" s="336">
        <v>906</v>
      </c>
      <c r="C577" s="338" t="s">
        <v>280</v>
      </c>
      <c r="D577" s="338" t="s">
        <v>134</v>
      </c>
      <c r="E577" s="338" t="s">
        <v>1009</v>
      </c>
      <c r="F577" s="338" t="s">
        <v>291</v>
      </c>
      <c r="G577" s="343">
        <f>'Пр.4 ведом.20'!G583</f>
        <v>0</v>
      </c>
      <c r="H577" s="343">
        <f t="shared" si="48"/>
        <v>0</v>
      </c>
      <c r="I577" s="218"/>
    </row>
    <row r="578" spans="1:9" ht="31.5" hidden="1" x14ac:dyDescent="0.25">
      <c r="A578" s="342" t="s">
        <v>296</v>
      </c>
      <c r="B578" s="336">
        <v>906</v>
      </c>
      <c r="C578" s="338" t="s">
        <v>280</v>
      </c>
      <c r="D578" s="338" t="s">
        <v>134</v>
      </c>
      <c r="E578" s="338" t="s">
        <v>1010</v>
      </c>
      <c r="F578" s="338"/>
      <c r="G578" s="343">
        <f>'Пр.4 ведом.20'!G584</f>
        <v>0</v>
      </c>
      <c r="H578" s="343">
        <f t="shared" si="48"/>
        <v>0</v>
      </c>
      <c r="I578" s="218"/>
    </row>
    <row r="579" spans="1:9" ht="31.5" hidden="1" x14ac:dyDescent="0.25">
      <c r="A579" s="342" t="s">
        <v>288</v>
      </c>
      <c r="B579" s="336">
        <v>906</v>
      </c>
      <c r="C579" s="338" t="s">
        <v>280</v>
      </c>
      <c r="D579" s="338" t="s">
        <v>134</v>
      </c>
      <c r="E579" s="338" t="s">
        <v>1010</v>
      </c>
      <c r="F579" s="338" t="s">
        <v>289</v>
      </c>
      <c r="G579" s="343">
        <f>'Пр.4 ведом.20'!G585</f>
        <v>0</v>
      </c>
      <c r="H579" s="343">
        <f t="shared" si="48"/>
        <v>0</v>
      </c>
      <c r="I579" s="218"/>
    </row>
    <row r="580" spans="1:9" ht="15.75" hidden="1" x14ac:dyDescent="0.25">
      <c r="A580" s="342" t="s">
        <v>290</v>
      </c>
      <c r="B580" s="336">
        <v>906</v>
      </c>
      <c r="C580" s="338" t="s">
        <v>280</v>
      </c>
      <c r="D580" s="338" t="s">
        <v>134</v>
      </c>
      <c r="E580" s="338" t="s">
        <v>1010</v>
      </c>
      <c r="F580" s="338" t="s">
        <v>291</v>
      </c>
      <c r="G580" s="343">
        <f>'Пр.4 ведом.20'!G586</f>
        <v>0</v>
      </c>
      <c r="H580" s="343">
        <f t="shared" si="48"/>
        <v>0</v>
      </c>
      <c r="I580" s="218"/>
    </row>
    <row r="581" spans="1:9" ht="31.5" x14ac:dyDescent="0.25">
      <c r="A581" s="345" t="s">
        <v>431</v>
      </c>
      <c r="B581" s="336">
        <v>906</v>
      </c>
      <c r="C581" s="338" t="s">
        <v>280</v>
      </c>
      <c r="D581" s="338" t="s">
        <v>134</v>
      </c>
      <c r="E581" s="338" t="s">
        <v>1011</v>
      </c>
      <c r="F581" s="338"/>
      <c r="G581" s="343">
        <f>G582</f>
        <v>4430</v>
      </c>
      <c r="H581" s="343">
        <f>H582</f>
        <v>4430</v>
      </c>
      <c r="I581" s="218"/>
    </row>
    <row r="582" spans="1:9" ht="31.5" x14ac:dyDescent="0.25">
      <c r="A582" s="342" t="s">
        <v>288</v>
      </c>
      <c r="B582" s="336">
        <v>906</v>
      </c>
      <c r="C582" s="338" t="s">
        <v>280</v>
      </c>
      <c r="D582" s="338" t="s">
        <v>134</v>
      </c>
      <c r="E582" s="338" t="s">
        <v>1011</v>
      </c>
      <c r="F582" s="338" t="s">
        <v>289</v>
      </c>
      <c r="G582" s="343">
        <f>G583</f>
        <v>4430</v>
      </c>
      <c r="H582" s="343">
        <f>H583</f>
        <v>4430</v>
      </c>
      <c r="I582" s="218"/>
    </row>
    <row r="583" spans="1:9" ht="15.75" x14ac:dyDescent="0.25">
      <c r="A583" s="342" t="s">
        <v>290</v>
      </c>
      <c r="B583" s="336">
        <v>906</v>
      </c>
      <c r="C583" s="338" t="s">
        <v>280</v>
      </c>
      <c r="D583" s="338" t="s">
        <v>134</v>
      </c>
      <c r="E583" s="338" t="s">
        <v>1011</v>
      </c>
      <c r="F583" s="338" t="s">
        <v>291</v>
      </c>
      <c r="G583" s="343">
        <f>4430</f>
        <v>4430</v>
      </c>
      <c r="H583" s="343">
        <f t="shared" si="48"/>
        <v>4430</v>
      </c>
      <c r="I583" s="218"/>
    </row>
    <row r="584" spans="1:9" ht="31.5" x14ac:dyDescent="0.25">
      <c r="A584" s="231" t="s">
        <v>1077</v>
      </c>
      <c r="B584" s="337">
        <v>906</v>
      </c>
      <c r="C584" s="341" t="s">
        <v>280</v>
      </c>
      <c r="D584" s="341" t="s">
        <v>134</v>
      </c>
      <c r="E584" s="341" t="s">
        <v>1012</v>
      </c>
      <c r="F584" s="341"/>
      <c r="G584" s="44">
        <f>G585+G588+G591</f>
        <v>4610</v>
      </c>
      <c r="H584" s="44">
        <f>H585+H588+H591</f>
        <v>4610</v>
      </c>
      <c r="I584" s="218"/>
    </row>
    <row r="585" spans="1:9" ht="31.5" hidden="1" x14ac:dyDescent="0.25">
      <c r="A585" s="342" t="s">
        <v>300</v>
      </c>
      <c r="B585" s="336">
        <v>906</v>
      </c>
      <c r="C585" s="338" t="s">
        <v>280</v>
      </c>
      <c r="D585" s="338" t="s">
        <v>134</v>
      </c>
      <c r="E585" s="338" t="s">
        <v>1013</v>
      </c>
      <c r="F585" s="338"/>
      <c r="G585" s="343">
        <f>'Пр.4 ведом.20'!G591</f>
        <v>0</v>
      </c>
      <c r="H585" s="343">
        <f t="shared" si="48"/>
        <v>0</v>
      </c>
      <c r="I585" s="218"/>
    </row>
    <row r="586" spans="1:9" ht="31.5" hidden="1" x14ac:dyDescent="0.25">
      <c r="A586" s="342" t="s">
        <v>288</v>
      </c>
      <c r="B586" s="336">
        <v>906</v>
      </c>
      <c r="C586" s="338" t="s">
        <v>280</v>
      </c>
      <c r="D586" s="338" t="s">
        <v>134</v>
      </c>
      <c r="E586" s="338" t="s">
        <v>1013</v>
      </c>
      <c r="F586" s="338" t="s">
        <v>289</v>
      </c>
      <c r="G586" s="343">
        <f>'Пр.4 ведом.20'!G592</f>
        <v>0</v>
      </c>
      <c r="H586" s="343">
        <f t="shared" si="48"/>
        <v>0</v>
      </c>
      <c r="I586" s="218"/>
    </row>
    <row r="587" spans="1:9" ht="15.75" hidden="1" x14ac:dyDescent="0.25">
      <c r="A587" s="342" t="s">
        <v>290</v>
      </c>
      <c r="B587" s="336">
        <v>906</v>
      </c>
      <c r="C587" s="338" t="s">
        <v>280</v>
      </c>
      <c r="D587" s="338" t="s">
        <v>134</v>
      </c>
      <c r="E587" s="338" t="s">
        <v>1013</v>
      </c>
      <c r="F587" s="338" t="s">
        <v>291</v>
      </c>
      <c r="G587" s="343">
        <f>'Пр.4 ведом.20'!G593</f>
        <v>0</v>
      </c>
      <c r="H587" s="343">
        <f t="shared" si="48"/>
        <v>0</v>
      </c>
      <c r="I587" s="218"/>
    </row>
    <row r="588" spans="1:9" ht="31.5" x14ac:dyDescent="0.25">
      <c r="A588" s="60" t="s">
        <v>787</v>
      </c>
      <c r="B588" s="336">
        <v>906</v>
      </c>
      <c r="C588" s="338" t="s">
        <v>280</v>
      </c>
      <c r="D588" s="338" t="s">
        <v>134</v>
      </c>
      <c r="E588" s="338" t="s">
        <v>1014</v>
      </c>
      <c r="F588" s="338"/>
      <c r="G588" s="343">
        <f>G589</f>
        <v>2850</v>
      </c>
      <c r="H588" s="343">
        <f>H589</f>
        <v>2850</v>
      </c>
      <c r="I588" s="218"/>
    </row>
    <row r="589" spans="1:9" ht="31.5" x14ac:dyDescent="0.25">
      <c r="A589" s="345" t="s">
        <v>288</v>
      </c>
      <c r="B589" s="336">
        <v>906</v>
      </c>
      <c r="C589" s="338" t="s">
        <v>280</v>
      </c>
      <c r="D589" s="338" t="s">
        <v>134</v>
      </c>
      <c r="E589" s="338" t="s">
        <v>1014</v>
      </c>
      <c r="F589" s="338" t="s">
        <v>289</v>
      </c>
      <c r="G589" s="343">
        <f>G590</f>
        <v>2850</v>
      </c>
      <c r="H589" s="343">
        <f>H590</f>
        <v>2850</v>
      </c>
      <c r="I589" s="218"/>
    </row>
    <row r="590" spans="1:9" ht="15.75" x14ac:dyDescent="0.25">
      <c r="A590" s="192" t="s">
        <v>290</v>
      </c>
      <c r="B590" s="336">
        <v>906</v>
      </c>
      <c r="C590" s="338" t="s">
        <v>280</v>
      </c>
      <c r="D590" s="338" t="s">
        <v>134</v>
      </c>
      <c r="E590" s="338" t="s">
        <v>1014</v>
      </c>
      <c r="F590" s="338" t="s">
        <v>291</v>
      </c>
      <c r="G590" s="343">
        <f>2850</f>
        <v>2850</v>
      </c>
      <c r="H590" s="343">
        <f t="shared" si="48"/>
        <v>2850</v>
      </c>
      <c r="I590" s="218"/>
    </row>
    <row r="591" spans="1:9" ht="47.25" x14ac:dyDescent="0.25">
      <c r="A591" s="60" t="s">
        <v>788</v>
      </c>
      <c r="B591" s="336">
        <v>906</v>
      </c>
      <c r="C591" s="338" t="s">
        <v>280</v>
      </c>
      <c r="D591" s="338" t="s">
        <v>134</v>
      </c>
      <c r="E591" s="338" t="s">
        <v>1015</v>
      </c>
      <c r="F591" s="338"/>
      <c r="G591" s="343">
        <f>G592</f>
        <v>1760</v>
      </c>
      <c r="H591" s="343">
        <f>H592</f>
        <v>1760</v>
      </c>
      <c r="I591" s="218"/>
    </row>
    <row r="592" spans="1:9" ht="31.5" x14ac:dyDescent="0.25">
      <c r="A592" s="345" t="s">
        <v>288</v>
      </c>
      <c r="B592" s="336">
        <v>906</v>
      </c>
      <c r="C592" s="338" t="s">
        <v>280</v>
      </c>
      <c r="D592" s="338" t="s">
        <v>134</v>
      </c>
      <c r="E592" s="338" t="s">
        <v>1015</v>
      </c>
      <c r="F592" s="338" t="s">
        <v>289</v>
      </c>
      <c r="G592" s="343">
        <f>G593</f>
        <v>1760</v>
      </c>
      <c r="H592" s="343">
        <f>H593</f>
        <v>1760</v>
      </c>
      <c r="I592" s="218"/>
    </row>
    <row r="593" spans="1:9" ht="15.75" x14ac:dyDescent="0.25">
      <c r="A593" s="192" t="s">
        <v>290</v>
      </c>
      <c r="B593" s="336">
        <v>906</v>
      </c>
      <c r="C593" s="338" t="s">
        <v>280</v>
      </c>
      <c r="D593" s="338" t="s">
        <v>134</v>
      </c>
      <c r="E593" s="338" t="s">
        <v>1015</v>
      </c>
      <c r="F593" s="338" t="s">
        <v>291</v>
      </c>
      <c r="G593" s="343">
        <f>1760</f>
        <v>1760</v>
      </c>
      <c r="H593" s="343">
        <f t="shared" si="48"/>
        <v>1760</v>
      </c>
      <c r="I593" s="218"/>
    </row>
    <row r="594" spans="1:9" ht="63" x14ac:dyDescent="0.25">
      <c r="A594" s="340" t="s">
        <v>1016</v>
      </c>
      <c r="B594" s="337">
        <v>906</v>
      </c>
      <c r="C594" s="341" t="s">
        <v>280</v>
      </c>
      <c r="D594" s="341" t="s">
        <v>134</v>
      </c>
      <c r="E594" s="341" t="s">
        <v>1017</v>
      </c>
      <c r="F594" s="341"/>
      <c r="G594" s="339">
        <f>G595+G598</f>
        <v>291.10000000000002</v>
      </c>
      <c r="H594" s="339">
        <f>H595+H598</f>
        <v>291.10000000000002</v>
      </c>
      <c r="I594" s="218"/>
    </row>
    <row r="595" spans="1:9" ht="120.2" customHeight="1" x14ac:dyDescent="0.25">
      <c r="A595" s="342" t="s">
        <v>1464</v>
      </c>
      <c r="B595" s="336">
        <v>906</v>
      </c>
      <c r="C595" s="338" t="s">
        <v>280</v>
      </c>
      <c r="D595" s="338" t="s">
        <v>134</v>
      </c>
      <c r="E595" s="338" t="s">
        <v>1018</v>
      </c>
      <c r="F595" s="338"/>
      <c r="G595" s="343">
        <f>G596</f>
        <v>124.4</v>
      </c>
      <c r="H595" s="343">
        <f>H596</f>
        <v>124.4</v>
      </c>
      <c r="I595" s="218"/>
    </row>
    <row r="596" spans="1:9" ht="31.5" x14ac:dyDescent="0.25">
      <c r="A596" s="345" t="s">
        <v>288</v>
      </c>
      <c r="B596" s="336">
        <v>906</v>
      </c>
      <c r="C596" s="338" t="s">
        <v>280</v>
      </c>
      <c r="D596" s="338" t="s">
        <v>134</v>
      </c>
      <c r="E596" s="338" t="s">
        <v>1018</v>
      </c>
      <c r="F596" s="338" t="s">
        <v>289</v>
      </c>
      <c r="G596" s="343">
        <f>G597</f>
        <v>124.4</v>
      </c>
      <c r="H596" s="343">
        <f>H597</f>
        <v>124.4</v>
      </c>
      <c r="I596" s="218"/>
    </row>
    <row r="597" spans="1:9" ht="15.75" x14ac:dyDescent="0.25">
      <c r="A597" s="192" t="s">
        <v>290</v>
      </c>
      <c r="B597" s="336">
        <v>906</v>
      </c>
      <c r="C597" s="338" t="s">
        <v>280</v>
      </c>
      <c r="D597" s="338" t="s">
        <v>134</v>
      </c>
      <c r="E597" s="338" t="s">
        <v>1018</v>
      </c>
      <c r="F597" s="338" t="s">
        <v>291</v>
      </c>
      <c r="G597" s="343">
        <f>124.4</f>
        <v>124.4</v>
      </c>
      <c r="H597" s="343">
        <f t="shared" si="48"/>
        <v>124.4</v>
      </c>
      <c r="I597" s="218"/>
    </row>
    <row r="598" spans="1:9" ht="126" x14ac:dyDescent="0.25">
      <c r="A598" s="342" t="s">
        <v>439</v>
      </c>
      <c r="B598" s="336">
        <v>906</v>
      </c>
      <c r="C598" s="338" t="s">
        <v>280</v>
      </c>
      <c r="D598" s="338" t="s">
        <v>134</v>
      </c>
      <c r="E598" s="338" t="s">
        <v>1019</v>
      </c>
      <c r="F598" s="338"/>
      <c r="G598" s="343">
        <f>G599</f>
        <v>166.7</v>
      </c>
      <c r="H598" s="343">
        <f>H599</f>
        <v>166.7</v>
      </c>
      <c r="I598" s="218"/>
    </row>
    <row r="599" spans="1:9" ht="31.5" x14ac:dyDescent="0.25">
      <c r="A599" s="342" t="s">
        <v>288</v>
      </c>
      <c r="B599" s="336">
        <v>906</v>
      </c>
      <c r="C599" s="338" t="s">
        <v>280</v>
      </c>
      <c r="D599" s="338" t="s">
        <v>134</v>
      </c>
      <c r="E599" s="338" t="s">
        <v>1019</v>
      </c>
      <c r="F599" s="338" t="s">
        <v>289</v>
      </c>
      <c r="G599" s="343">
        <f>G600</f>
        <v>166.7</v>
      </c>
      <c r="H599" s="343">
        <f>H600</f>
        <v>166.7</v>
      </c>
      <c r="I599" s="218"/>
    </row>
    <row r="600" spans="1:9" ht="15.75" x14ac:dyDescent="0.25">
      <c r="A600" s="342" t="s">
        <v>290</v>
      </c>
      <c r="B600" s="336">
        <v>906</v>
      </c>
      <c r="C600" s="338" t="s">
        <v>280</v>
      </c>
      <c r="D600" s="338" t="s">
        <v>134</v>
      </c>
      <c r="E600" s="338" t="s">
        <v>1019</v>
      </c>
      <c r="F600" s="338" t="s">
        <v>291</v>
      </c>
      <c r="G600" s="343">
        <f>166.7</f>
        <v>166.7</v>
      </c>
      <c r="H600" s="343">
        <f t="shared" si="48"/>
        <v>166.7</v>
      </c>
      <c r="I600" s="218"/>
    </row>
    <row r="601" spans="1:9" ht="63" hidden="1" x14ac:dyDescent="0.25">
      <c r="A601" s="34" t="s">
        <v>805</v>
      </c>
      <c r="B601" s="337">
        <v>906</v>
      </c>
      <c r="C601" s="341" t="s">
        <v>280</v>
      </c>
      <c r="D601" s="341" t="s">
        <v>134</v>
      </c>
      <c r="E601" s="341" t="s">
        <v>340</v>
      </c>
      <c r="F601" s="341"/>
      <c r="G601" s="339">
        <f>G602</f>
        <v>0</v>
      </c>
      <c r="H601" s="339">
        <f>H602</f>
        <v>0</v>
      </c>
      <c r="I601" s="218"/>
    </row>
    <row r="602" spans="1:9" ht="63" hidden="1" x14ac:dyDescent="0.25">
      <c r="A602" s="34" t="s">
        <v>1162</v>
      </c>
      <c r="B602" s="337">
        <v>906</v>
      </c>
      <c r="C602" s="341" t="s">
        <v>280</v>
      </c>
      <c r="D602" s="341" t="s">
        <v>134</v>
      </c>
      <c r="E602" s="341" t="s">
        <v>1025</v>
      </c>
      <c r="F602" s="341"/>
      <c r="G602" s="339">
        <f>G603</f>
        <v>0</v>
      </c>
      <c r="H602" s="339">
        <f>H603</f>
        <v>0</v>
      </c>
      <c r="I602" s="218"/>
    </row>
    <row r="603" spans="1:9" ht="47.25" hidden="1" x14ac:dyDescent="0.25">
      <c r="A603" s="31" t="s">
        <v>1274</v>
      </c>
      <c r="B603" s="336">
        <v>906</v>
      </c>
      <c r="C603" s="338" t="s">
        <v>280</v>
      </c>
      <c r="D603" s="338" t="s">
        <v>134</v>
      </c>
      <c r="E603" s="338" t="s">
        <v>1026</v>
      </c>
      <c r="F603" s="338"/>
      <c r="G603" s="343">
        <f>'Пр.4 ведом.20'!G616</f>
        <v>0</v>
      </c>
      <c r="H603" s="343">
        <f t="shared" si="48"/>
        <v>0</v>
      </c>
      <c r="I603" s="218"/>
    </row>
    <row r="604" spans="1:9" ht="31.5" hidden="1" x14ac:dyDescent="0.25">
      <c r="A604" s="31" t="s">
        <v>288</v>
      </c>
      <c r="B604" s="336">
        <v>906</v>
      </c>
      <c r="C604" s="338" t="s">
        <v>280</v>
      </c>
      <c r="D604" s="338" t="s">
        <v>134</v>
      </c>
      <c r="E604" s="338" t="s">
        <v>1026</v>
      </c>
      <c r="F604" s="338" t="s">
        <v>289</v>
      </c>
      <c r="G604" s="343">
        <f>'Пр.4 ведом.20'!G617</f>
        <v>0</v>
      </c>
      <c r="H604" s="343">
        <f t="shared" si="48"/>
        <v>0</v>
      </c>
      <c r="I604" s="218"/>
    </row>
    <row r="605" spans="1:9" ht="15.75" hidden="1" x14ac:dyDescent="0.25">
      <c r="A605" s="31" t="s">
        <v>290</v>
      </c>
      <c r="B605" s="336">
        <v>906</v>
      </c>
      <c r="C605" s="338" t="s">
        <v>280</v>
      </c>
      <c r="D605" s="338" t="s">
        <v>134</v>
      </c>
      <c r="E605" s="338" t="s">
        <v>1026</v>
      </c>
      <c r="F605" s="338" t="s">
        <v>291</v>
      </c>
      <c r="G605" s="343">
        <f>'Пр.4 ведом.20'!G618</f>
        <v>0</v>
      </c>
      <c r="H605" s="343">
        <f t="shared" si="48"/>
        <v>0</v>
      </c>
      <c r="I605" s="218"/>
    </row>
    <row r="606" spans="1:9" s="217" customFormat="1" ht="94.5" x14ac:dyDescent="0.25">
      <c r="A606" s="340" t="s">
        <v>1401</v>
      </c>
      <c r="B606" s="337">
        <v>906</v>
      </c>
      <c r="C606" s="341" t="s">
        <v>280</v>
      </c>
      <c r="D606" s="341" t="s">
        <v>134</v>
      </c>
      <c r="E606" s="341" t="s">
        <v>1399</v>
      </c>
      <c r="F606" s="341"/>
      <c r="G606" s="339">
        <f>G607+G610</f>
        <v>1666.6</v>
      </c>
      <c r="H606" s="339">
        <f>H607+H610</f>
        <v>1666.6</v>
      </c>
      <c r="I606" s="218"/>
    </row>
    <row r="607" spans="1:9" s="217" customFormat="1" ht="94.5" x14ac:dyDescent="0.25">
      <c r="A607" s="151" t="s">
        <v>1465</v>
      </c>
      <c r="B607" s="336">
        <v>906</v>
      </c>
      <c r="C607" s="338" t="s">
        <v>280</v>
      </c>
      <c r="D607" s="338" t="s">
        <v>134</v>
      </c>
      <c r="E607" s="338" t="s">
        <v>1403</v>
      </c>
      <c r="F607" s="338"/>
      <c r="G607" s="343">
        <f>G608</f>
        <v>0</v>
      </c>
      <c r="H607" s="343">
        <f>H608</f>
        <v>0</v>
      </c>
      <c r="I607" s="218"/>
    </row>
    <row r="608" spans="1:9" s="217" customFormat="1" ht="31.5" x14ac:dyDescent="0.25">
      <c r="A608" s="342" t="s">
        <v>288</v>
      </c>
      <c r="B608" s="336">
        <v>906</v>
      </c>
      <c r="C608" s="338" t="s">
        <v>280</v>
      </c>
      <c r="D608" s="338" t="s">
        <v>134</v>
      </c>
      <c r="E608" s="338" t="s">
        <v>1403</v>
      </c>
      <c r="F608" s="338" t="s">
        <v>289</v>
      </c>
      <c r="G608" s="343">
        <f>G609</f>
        <v>0</v>
      </c>
      <c r="H608" s="343">
        <f>H609</f>
        <v>0</v>
      </c>
      <c r="I608" s="218"/>
    </row>
    <row r="609" spans="1:9" s="217" customFormat="1" ht="15.75" x14ac:dyDescent="0.25">
      <c r="A609" s="342" t="s">
        <v>290</v>
      </c>
      <c r="B609" s="336">
        <v>906</v>
      </c>
      <c r="C609" s="338" t="s">
        <v>280</v>
      </c>
      <c r="D609" s="338" t="s">
        <v>134</v>
      </c>
      <c r="E609" s="338" t="s">
        <v>1403</v>
      </c>
      <c r="F609" s="338" t="s">
        <v>291</v>
      </c>
      <c r="G609" s="343">
        <v>0</v>
      </c>
      <c r="H609" s="343">
        <v>0</v>
      </c>
      <c r="I609" s="218"/>
    </row>
    <row r="610" spans="1:9" s="217" customFormat="1" ht="81.75" customHeight="1" x14ac:dyDescent="0.25">
      <c r="A610" s="151" t="s">
        <v>1454</v>
      </c>
      <c r="B610" s="336">
        <v>906</v>
      </c>
      <c r="C610" s="338" t="s">
        <v>280</v>
      </c>
      <c r="D610" s="338" t="s">
        <v>134</v>
      </c>
      <c r="E610" s="338" t="s">
        <v>1402</v>
      </c>
      <c r="F610" s="338"/>
      <c r="G610" s="343">
        <f>G611</f>
        <v>1666.6</v>
      </c>
      <c r="H610" s="343">
        <f>H611</f>
        <v>1666.6</v>
      </c>
      <c r="I610" s="218"/>
    </row>
    <row r="611" spans="1:9" s="217" customFormat="1" ht="31.5" x14ac:dyDescent="0.25">
      <c r="A611" s="342" t="s">
        <v>288</v>
      </c>
      <c r="B611" s="336">
        <v>906</v>
      </c>
      <c r="C611" s="338" t="s">
        <v>280</v>
      </c>
      <c r="D611" s="338" t="s">
        <v>134</v>
      </c>
      <c r="E611" s="338" t="s">
        <v>1402</v>
      </c>
      <c r="F611" s="338" t="s">
        <v>289</v>
      </c>
      <c r="G611" s="343">
        <f>G612</f>
        <v>1666.6</v>
      </c>
      <c r="H611" s="343">
        <f>H612</f>
        <v>1666.6</v>
      </c>
      <c r="I611" s="218"/>
    </row>
    <row r="612" spans="1:9" s="217" customFormat="1" ht="15.75" x14ac:dyDescent="0.25">
      <c r="A612" s="342" t="s">
        <v>290</v>
      </c>
      <c r="B612" s="336">
        <v>906</v>
      </c>
      <c r="C612" s="338" t="s">
        <v>280</v>
      </c>
      <c r="D612" s="338" t="s">
        <v>134</v>
      </c>
      <c r="E612" s="338" t="s">
        <v>1402</v>
      </c>
      <c r="F612" s="338" t="s">
        <v>291</v>
      </c>
      <c r="G612" s="343">
        <f>1666.6</f>
        <v>1666.6</v>
      </c>
      <c r="H612" s="343">
        <f>G612</f>
        <v>1666.6</v>
      </c>
      <c r="I612" s="218"/>
    </row>
    <row r="613" spans="1:9" ht="63" x14ac:dyDescent="0.25">
      <c r="A613" s="41" t="s">
        <v>730</v>
      </c>
      <c r="B613" s="337">
        <v>906</v>
      </c>
      <c r="C613" s="341" t="s">
        <v>280</v>
      </c>
      <c r="D613" s="341" t="s">
        <v>134</v>
      </c>
      <c r="E613" s="341" t="s">
        <v>728</v>
      </c>
      <c r="F613" s="235"/>
      <c r="G613" s="339">
        <f>G615</f>
        <v>464.3</v>
      </c>
      <c r="H613" s="339">
        <f>H615</f>
        <v>464.3</v>
      </c>
      <c r="I613" s="218"/>
    </row>
    <row r="614" spans="1:9" ht="47.25" x14ac:dyDescent="0.25">
      <c r="A614" s="41" t="s">
        <v>949</v>
      </c>
      <c r="B614" s="337">
        <v>906</v>
      </c>
      <c r="C614" s="341" t="s">
        <v>280</v>
      </c>
      <c r="D614" s="341" t="s">
        <v>134</v>
      </c>
      <c r="E614" s="341" t="s">
        <v>947</v>
      </c>
      <c r="F614" s="235"/>
      <c r="G614" s="339">
        <f t="shared" ref="G614:H616" si="49">G615</f>
        <v>464.3</v>
      </c>
      <c r="H614" s="339">
        <f t="shared" si="49"/>
        <v>464.3</v>
      </c>
      <c r="I614" s="218"/>
    </row>
    <row r="615" spans="1:9" ht="47.25" x14ac:dyDescent="0.25">
      <c r="A615" s="99" t="s">
        <v>803</v>
      </c>
      <c r="B615" s="336">
        <v>906</v>
      </c>
      <c r="C615" s="338" t="s">
        <v>280</v>
      </c>
      <c r="D615" s="338" t="s">
        <v>134</v>
      </c>
      <c r="E615" s="338" t="s">
        <v>1027</v>
      </c>
      <c r="F615" s="32"/>
      <c r="G615" s="343">
        <f t="shared" si="49"/>
        <v>464.3</v>
      </c>
      <c r="H615" s="343">
        <f t="shared" si="49"/>
        <v>464.3</v>
      </c>
      <c r="I615" s="218"/>
    </row>
    <row r="616" spans="1:9" ht="31.5" x14ac:dyDescent="0.25">
      <c r="A616" s="345" t="s">
        <v>288</v>
      </c>
      <c r="B616" s="336">
        <v>906</v>
      </c>
      <c r="C616" s="338" t="s">
        <v>280</v>
      </c>
      <c r="D616" s="338" t="s">
        <v>134</v>
      </c>
      <c r="E616" s="338" t="s">
        <v>1027</v>
      </c>
      <c r="F616" s="32" t="s">
        <v>289</v>
      </c>
      <c r="G616" s="343">
        <f t="shared" si="49"/>
        <v>464.3</v>
      </c>
      <c r="H616" s="343">
        <f t="shared" si="49"/>
        <v>464.3</v>
      </c>
      <c r="I616" s="218"/>
    </row>
    <row r="617" spans="1:9" ht="15.75" x14ac:dyDescent="0.25">
      <c r="A617" s="192" t="s">
        <v>290</v>
      </c>
      <c r="B617" s="336">
        <v>906</v>
      </c>
      <c r="C617" s="338" t="s">
        <v>280</v>
      </c>
      <c r="D617" s="338" t="s">
        <v>134</v>
      </c>
      <c r="E617" s="338" t="s">
        <v>1027</v>
      </c>
      <c r="F617" s="32" t="s">
        <v>291</v>
      </c>
      <c r="G617" s="343">
        <f>464.3</f>
        <v>464.3</v>
      </c>
      <c r="H617" s="343">
        <f t="shared" si="48"/>
        <v>464.3</v>
      </c>
      <c r="I617" s="218"/>
    </row>
    <row r="618" spans="1:9" ht="15.75" x14ac:dyDescent="0.25">
      <c r="A618" s="340" t="s">
        <v>441</v>
      </c>
      <c r="B618" s="337">
        <v>906</v>
      </c>
      <c r="C618" s="341" t="s">
        <v>280</v>
      </c>
      <c r="D618" s="341" t="s">
        <v>229</v>
      </c>
      <c r="E618" s="341"/>
      <c r="F618" s="341"/>
      <c r="G618" s="339">
        <f>G619+G692+G697</f>
        <v>193443.7</v>
      </c>
      <c r="H618" s="339">
        <f>H619+H692+H697</f>
        <v>193452.2</v>
      </c>
      <c r="I618" s="218"/>
    </row>
    <row r="619" spans="1:9" ht="47.25" x14ac:dyDescent="0.25">
      <c r="A619" s="340" t="s">
        <v>1431</v>
      </c>
      <c r="B619" s="337">
        <v>906</v>
      </c>
      <c r="C619" s="341" t="s">
        <v>280</v>
      </c>
      <c r="D619" s="341" t="s">
        <v>229</v>
      </c>
      <c r="E619" s="341" t="s">
        <v>422</v>
      </c>
      <c r="F619" s="341"/>
      <c r="G619" s="339">
        <f>G620+G653</f>
        <v>192720.40000000002</v>
      </c>
      <c r="H619" s="339">
        <f>H620+H653</f>
        <v>192728.90000000002</v>
      </c>
      <c r="I619" s="218"/>
    </row>
    <row r="620" spans="1:9" ht="31.5" x14ac:dyDescent="0.25">
      <c r="A620" s="340" t="s">
        <v>423</v>
      </c>
      <c r="B620" s="337">
        <v>906</v>
      </c>
      <c r="C620" s="341" t="s">
        <v>280</v>
      </c>
      <c r="D620" s="341" t="s">
        <v>229</v>
      </c>
      <c r="E620" s="341" t="s">
        <v>424</v>
      </c>
      <c r="F620" s="341"/>
      <c r="G620" s="339">
        <f>G621+G631</f>
        <v>183876.30000000002</v>
      </c>
      <c r="H620" s="339">
        <f>H621+H631</f>
        <v>183876.30000000002</v>
      </c>
      <c r="I620" s="218"/>
    </row>
    <row r="621" spans="1:9" ht="31.5" x14ac:dyDescent="0.25">
      <c r="A621" s="340" t="s">
        <v>1028</v>
      </c>
      <c r="B621" s="337">
        <v>906</v>
      </c>
      <c r="C621" s="341" t="s">
        <v>280</v>
      </c>
      <c r="D621" s="341" t="s">
        <v>229</v>
      </c>
      <c r="E621" s="341" t="s">
        <v>1006</v>
      </c>
      <c r="F621" s="341"/>
      <c r="G621" s="339">
        <f>G622+G625+G628</f>
        <v>28803</v>
      </c>
      <c r="H621" s="339">
        <f>H622+H625+H628</f>
        <v>28803</v>
      </c>
      <c r="I621" s="218"/>
    </row>
    <row r="622" spans="1:9" ht="47.25" x14ac:dyDescent="0.25">
      <c r="A622" s="342" t="s">
        <v>1458</v>
      </c>
      <c r="B622" s="336">
        <v>906</v>
      </c>
      <c r="C622" s="338" t="s">
        <v>280</v>
      </c>
      <c r="D622" s="338" t="s">
        <v>229</v>
      </c>
      <c r="E622" s="338" t="s">
        <v>1065</v>
      </c>
      <c r="F622" s="338"/>
      <c r="G622" s="343">
        <f>G623</f>
        <v>9775.4</v>
      </c>
      <c r="H622" s="343">
        <f>H623</f>
        <v>9775.4</v>
      </c>
      <c r="I622" s="218"/>
    </row>
    <row r="623" spans="1:9" ht="31.5" x14ac:dyDescent="0.25">
      <c r="A623" s="342" t="s">
        <v>288</v>
      </c>
      <c r="B623" s="336">
        <v>906</v>
      </c>
      <c r="C623" s="338" t="s">
        <v>280</v>
      </c>
      <c r="D623" s="338" t="s">
        <v>229</v>
      </c>
      <c r="E623" s="338" t="s">
        <v>1065</v>
      </c>
      <c r="F623" s="338" t="s">
        <v>289</v>
      </c>
      <c r="G623" s="343">
        <f>G624</f>
        <v>9775.4</v>
      </c>
      <c r="H623" s="343">
        <f>H624</f>
        <v>9775.4</v>
      </c>
      <c r="I623" s="218"/>
    </row>
    <row r="624" spans="1:9" ht="15.75" x14ac:dyDescent="0.25">
      <c r="A624" s="342" t="s">
        <v>290</v>
      </c>
      <c r="B624" s="336">
        <v>906</v>
      </c>
      <c r="C624" s="338" t="s">
        <v>280</v>
      </c>
      <c r="D624" s="338" t="s">
        <v>229</v>
      </c>
      <c r="E624" s="338" t="s">
        <v>1065</v>
      </c>
      <c r="F624" s="338" t="s">
        <v>291</v>
      </c>
      <c r="G624" s="343">
        <f>9765.4+10</f>
        <v>9775.4</v>
      </c>
      <c r="H624" s="343">
        <f t="shared" si="48"/>
        <v>9775.4</v>
      </c>
      <c r="I624" s="218"/>
    </row>
    <row r="625" spans="1:9" ht="47.25" x14ac:dyDescent="0.25">
      <c r="A625" s="342" t="s">
        <v>1069</v>
      </c>
      <c r="B625" s="336">
        <v>906</v>
      </c>
      <c r="C625" s="338" t="s">
        <v>280</v>
      </c>
      <c r="D625" s="338" t="s">
        <v>229</v>
      </c>
      <c r="E625" s="338" t="s">
        <v>1066</v>
      </c>
      <c r="F625" s="338"/>
      <c r="G625" s="343">
        <f>G626</f>
        <v>12351.7</v>
      </c>
      <c r="H625" s="343">
        <f>H626</f>
        <v>12351.7</v>
      </c>
      <c r="I625" s="218"/>
    </row>
    <row r="626" spans="1:9" ht="31.5" x14ac:dyDescent="0.25">
      <c r="A626" s="342" t="s">
        <v>288</v>
      </c>
      <c r="B626" s="336">
        <v>906</v>
      </c>
      <c r="C626" s="338" t="s">
        <v>280</v>
      </c>
      <c r="D626" s="338" t="s">
        <v>229</v>
      </c>
      <c r="E626" s="338" t="s">
        <v>1066</v>
      </c>
      <c r="F626" s="338" t="s">
        <v>289</v>
      </c>
      <c r="G626" s="343">
        <f>G627</f>
        <v>12351.7</v>
      </c>
      <c r="H626" s="343">
        <f>H627</f>
        <v>12351.7</v>
      </c>
      <c r="I626" s="218"/>
    </row>
    <row r="627" spans="1:9" ht="15.75" x14ac:dyDescent="0.25">
      <c r="A627" s="342" t="s">
        <v>290</v>
      </c>
      <c r="B627" s="336">
        <v>906</v>
      </c>
      <c r="C627" s="338" t="s">
        <v>280</v>
      </c>
      <c r="D627" s="338" t="s">
        <v>229</v>
      </c>
      <c r="E627" s="338" t="s">
        <v>1066</v>
      </c>
      <c r="F627" s="338" t="s">
        <v>291</v>
      </c>
      <c r="G627" s="343">
        <f>12351.7</f>
        <v>12351.7</v>
      </c>
      <c r="H627" s="343">
        <f t="shared" si="48"/>
        <v>12351.7</v>
      </c>
      <c r="I627" s="218"/>
    </row>
    <row r="628" spans="1:9" ht="47.25" x14ac:dyDescent="0.25">
      <c r="A628" s="342" t="s">
        <v>1070</v>
      </c>
      <c r="B628" s="336">
        <v>906</v>
      </c>
      <c r="C628" s="338" t="s">
        <v>280</v>
      </c>
      <c r="D628" s="338" t="s">
        <v>229</v>
      </c>
      <c r="E628" s="338" t="s">
        <v>1067</v>
      </c>
      <c r="F628" s="338"/>
      <c r="G628" s="343">
        <f>G629</f>
        <v>6675.9</v>
      </c>
      <c r="H628" s="343">
        <f>H629</f>
        <v>6675.9</v>
      </c>
      <c r="I628" s="218"/>
    </row>
    <row r="629" spans="1:9" ht="31.5" x14ac:dyDescent="0.25">
      <c r="A629" s="342" t="s">
        <v>288</v>
      </c>
      <c r="B629" s="336">
        <v>906</v>
      </c>
      <c r="C629" s="338" t="s">
        <v>280</v>
      </c>
      <c r="D629" s="338" t="s">
        <v>229</v>
      </c>
      <c r="E629" s="338" t="s">
        <v>1067</v>
      </c>
      <c r="F629" s="338" t="s">
        <v>289</v>
      </c>
      <c r="G629" s="343">
        <f>G630</f>
        <v>6675.9</v>
      </c>
      <c r="H629" s="343">
        <f>H630</f>
        <v>6675.9</v>
      </c>
      <c r="I629" s="218"/>
    </row>
    <row r="630" spans="1:9" ht="15.75" x14ac:dyDescent="0.25">
      <c r="A630" s="342" t="s">
        <v>290</v>
      </c>
      <c r="B630" s="336">
        <v>906</v>
      </c>
      <c r="C630" s="338" t="s">
        <v>280</v>
      </c>
      <c r="D630" s="338" t="s">
        <v>229</v>
      </c>
      <c r="E630" s="338" t="s">
        <v>1067</v>
      </c>
      <c r="F630" s="338" t="s">
        <v>291</v>
      </c>
      <c r="G630" s="343">
        <f>6675.9</f>
        <v>6675.9</v>
      </c>
      <c r="H630" s="343">
        <f t="shared" si="48"/>
        <v>6675.9</v>
      </c>
      <c r="I630" s="218"/>
    </row>
    <row r="631" spans="1:9" ht="47.25" x14ac:dyDescent="0.25">
      <c r="A631" s="340" t="s">
        <v>971</v>
      </c>
      <c r="B631" s="337">
        <v>906</v>
      </c>
      <c r="C631" s="341" t="s">
        <v>280</v>
      </c>
      <c r="D631" s="341" t="s">
        <v>229</v>
      </c>
      <c r="E631" s="341" t="s">
        <v>1021</v>
      </c>
      <c r="F631" s="341"/>
      <c r="G631" s="44">
        <f>G638+G641+G644+G647+G650+G635+G632</f>
        <v>155073.30000000002</v>
      </c>
      <c r="H631" s="44">
        <f>H638+H641+H644+H647+H650+H635+H632</f>
        <v>155073.30000000002</v>
      </c>
      <c r="I631" s="218"/>
    </row>
    <row r="632" spans="1:9" s="331" customFormat="1" ht="63" x14ac:dyDescent="0.25">
      <c r="A632" s="342" t="s">
        <v>1527</v>
      </c>
      <c r="B632" s="336">
        <v>906</v>
      </c>
      <c r="C632" s="338" t="s">
        <v>280</v>
      </c>
      <c r="D632" s="338" t="s">
        <v>229</v>
      </c>
      <c r="E632" s="338" t="s">
        <v>1528</v>
      </c>
      <c r="F632" s="338"/>
      <c r="G632" s="344">
        <f>G633</f>
        <v>2636.6</v>
      </c>
      <c r="H632" s="344">
        <f>H633</f>
        <v>2636.6</v>
      </c>
      <c r="I632" s="332"/>
    </row>
    <row r="633" spans="1:9" s="331" customFormat="1" ht="31.5" x14ac:dyDescent="0.25">
      <c r="A633" s="342" t="s">
        <v>288</v>
      </c>
      <c r="B633" s="336">
        <v>906</v>
      </c>
      <c r="C633" s="338" t="s">
        <v>280</v>
      </c>
      <c r="D633" s="338" t="s">
        <v>229</v>
      </c>
      <c r="E633" s="338" t="s">
        <v>1528</v>
      </c>
      <c r="F633" s="338" t="s">
        <v>289</v>
      </c>
      <c r="G633" s="344">
        <f>G634</f>
        <v>2636.6</v>
      </c>
      <c r="H633" s="344">
        <f>H634</f>
        <v>2636.6</v>
      </c>
      <c r="I633" s="332"/>
    </row>
    <row r="634" spans="1:9" s="331" customFormat="1" ht="15.75" x14ac:dyDescent="0.25">
      <c r="A634" s="342" t="s">
        <v>290</v>
      </c>
      <c r="B634" s="336">
        <v>906</v>
      </c>
      <c r="C634" s="338" t="s">
        <v>280</v>
      </c>
      <c r="D634" s="338" t="s">
        <v>229</v>
      </c>
      <c r="E634" s="338" t="s">
        <v>1528</v>
      </c>
      <c r="F634" s="338" t="s">
        <v>291</v>
      </c>
      <c r="G634" s="344">
        <v>2636.6</v>
      </c>
      <c r="H634" s="344">
        <v>2636.6</v>
      </c>
      <c r="I634" s="332"/>
    </row>
    <row r="635" spans="1:9" s="122" customFormat="1" ht="94.5" x14ac:dyDescent="0.25">
      <c r="A635" s="31" t="s">
        <v>480</v>
      </c>
      <c r="B635" s="336">
        <v>906</v>
      </c>
      <c r="C635" s="338" t="s">
        <v>280</v>
      </c>
      <c r="D635" s="338" t="s">
        <v>229</v>
      </c>
      <c r="E635" s="338" t="s">
        <v>1519</v>
      </c>
      <c r="F635" s="338"/>
      <c r="G635" s="344">
        <f>G636</f>
        <v>4841</v>
      </c>
      <c r="H635" s="344">
        <f>H636</f>
        <v>4841</v>
      </c>
      <c r="I635" s="220"/>
    </row>
    <row r="636" spans="1:9" s="122" customFormat="1" ht="31.5" x14ac:dyDescent="0.25">
      <c r="A636" s="342" t="s">
        <v>288</v>
      </c>
      <c r="B636" s="336">
        <v>906</v>
      </c>
      <c r="C636" s="338" t="s">
        <v>280</v>
      </c>
      <c r="D636" s="338" t="s">
        <v>229</v>
      </c>
      <c r="E636" s="338" t="s">
        <v>1519</v>
      </c>
      <c r="F636" s="338" t="s">
        <v>289</v>
      </c>
      <c r="G636" s="344">
        <f>G637</f>
        <v>4841</v>
      </c>
      <c r="H636" s="344">
        <f>H637</f>
        <v>4841</v>
      </c>
      <c r="I636" s="220"/>
    </row>
    <row r="637" spans="1:9" s="122" customFormat="1" ht="15.75" x14ac:dyDescent="0.25">
      <c r="A637" s="342" t="s">
        <v>290</v>
      </c>
      <c r="B637" s="336">
        <v>906</v>
      </c>
      <c r="C637" s="338" t="s">
        <v>280</v>
      </c>
      <c r="D637" s="338" t="s">
        <v>229</v>
      </c>
      <c r="E637" s="338" t="s">
        <v>1519</v>
      </c>
      <c r="F637" s="338" t="s">
        <v>291</v>
      </c>
      <c r="G637" s="344">
        <v>4841</v>
      </c>
      <c r="H637" s="344">
        <v>4841</v>
      </c>
      <c r="I637" s="220"/>
    </row>
    <row r="638" spans="1:9" ht="78.75" x14ac:dyDescent="0.25">
      <c r="A638" s="31" t="s">
        <v>476</v>
      </c>
      <c r="B638" s="336">
        <v>906</v>
      </c>
      <c r="C638" s="338" t="s">
        <v>280</v>
      </c>
      <c r="D638" s="338" t="s">
        <v>229</v>
      </c>
      <c r="E638" s="338" t="s">
        <v>1049</v>
      </c>
      <c r="F638" s="338"/>
      <c r="G638" s="343">
        <f>G639</f>
        <v>143160</v>
      </c>
      <c r="H638" s="343">
        <f>H639</f>
        <v>143160</v>
      </c>
      <c r="I638" s="218"/>
    </row>
    <row r="639" spans="1:9" ht="31.5" x14ac:dyDescent="0.25">
      <c r="A639" s="342" t="s">
        <v>288</v>
      </c>
      <c r="B639" s="336">
        <v>906</v>
      </c>
      <c r="C639" s="338" t="s">
        <v>280</v>
      </c>
      <c r="D639" s="338" t="s">
        <v>229</v>
      </c>
      <c r="E639" s="338" t="s">
        <v>1049</v>
      </c>
      <c r="F639" s="338" t="s">
        <v>289</v>
      </c>
      <c r="G639" s="343">
        <f>G640</f>
        <v>143160</v>
      </c>
      <c r="H639" s="343">
        <f>H640</f>
        <v>143160</v>
      </c>
      <c r="I639" s="218"/>
    </row>
    <row r="640" spans="1:9" ht="15.75" x14ac:dyDescent="0.25">
      <c r="A640" s="342" t="s">
        <v>290</v>
      </c>
      <c r="B640" s="336">
        <v>906</v>
      </c>
      <c r="C640" s="338" t="s">
        <v>280</v>
      </c>
      <c r="D640" s="338" t="s">
        <v>229</v>
      </c>
      <c r="E640" s="338" t="s">
        <v>1049</v>
      </c>
      <c r="F640" s="338" t="s">
        <v>291</v>
      </c>
      <c r="G640" s="343">
        <f>143160</f>
        <v>143160</v>
      </c>
      <c r="H640" s="343">
        <f t="shared" si="48"/>
        <v>143160</v>
      </c>
      <c r="I640" s="218"/>
    </row>
    <row r="641" spans="1:9" ht="63" x14ac:dyDescent="0.25">
      <c r="A641" s="31" t="s">
        <v>305</v>
      </c>
      <c r="B641" s="336">
        <v>906</v>
      </c>
      <c r="C641" s="338" t="s">
        <v>280</v>
      </c>
      <c r="D641" s="338" t="s">
        <v>229</v>
      </c>
      <c r="E641" s="338" t="s">
        <v>1020</v>
      </c>
      <c r="F641" s="338"/>
      <c r="G641" s="343">
        <f>G642</f>
        <v>1245.5999999999999</v>
      </c>
      <c r="H641" s="343">
        <f>H642</f>
        <v>1245.5999999999999</v>
      </c>
      <c r="I641" s="218"/>
    </row>
    <row r="642" spans="1:9" ht="31.5" x14ac:dyDescent="0.25">
      <c r="A642" s="342" t="s">
        <v>288</v>
      </c>
      <c r="B642" s="336">
        <v>906</v>
      </c>
      <c r="C642" s="338" t="s">
        <v>280</v>
      </c>
      <c r="D642" s="338" t="s">
        <v>229</v>
      </c>
      <c r="E642" s="338" t="s">
        <v>1020</v>
      </c>
      <c r="F642" s="338" t="s">
        <v>289</v>
      </c>
      <c r="G642" s="343">
        <f>G643</f>
        <v>1245.5999999999999</v>
      </c>
      <c r="H642" s="343">
        <f>H643</f>
        <v>1245.5999999999999</v>
      </c>
      <c r="I642" s="218"/>
    </row>
    <row r="643" spans="1:9" ht="15.75" x14ac:dyDescent="0.25">
      <c r="A643" s="342" t="s">
        <v>290</v>
      </c>
      <c r="B643" s="336">
        <v>906</v>
      </c>
      <c r="C643" s="338" t="s">
        <v>280</v>
      </c>
      <c r="D643" s="338" t="s">
        <v>229</v>
      </c>
      <c r="E643" s="338" t="s">
        <v>1020</v>
      </c>
      <c r="F643" s="338" t="s">
        <v>291</v>
      </c>
      <c r="G643" s="343">
        <f>1245.6</f>
        <v>1245.5999999999999</v>
      </c>
      <c r="H643" s="343">
        <f t="shared" si="48"/>
        <v>1245.5999999999999</v>
      </c>
      <c r="I643" s="218"/>
    </row>
    <row r="644" spans="1:9" ht="63" x14ac:dyDescent="0.25">
      <c r="A644" s="31" t="s">
        <v>307</v>
      </c>
      <c r="B644" s="336">
        <v>906</v>
      </c>
      <c r="C644" s="338" t="s">
        <v>280</v>
      </c>
      <c r="D644" s="338" t="s">
        <v>229</v>
      </c>
      <c r="E644" s="338" t="s">
        <v>1023</v>
      </c>
      <c r="F644" s="338"/>
      <c r="G644" s="343">
        <f>G645</f>
        <v>2266.6999999999998</v>
      </c>
      <c r="H644" s="343">
        <f>H645</f>
        <v>2266.6999999999998</v>
      </c>
      <c r="I644" s="218"/>
    </row>
    <row r="645" spans="1:9" ht="31.5" x14ac:dyDescent="0.25">
      <c r="A645" s="342" t="s">
        <v>288</v>
      </c>
      <c r="B645" s="336">
        <v>906</v>
      </c>
      <c r="C645" s="338" t="s">
        <v>280</v>
      </c>
      <c r="D645" s="338" t="s">
        <v>229</v>
      </c>
      <c r="E645" s="338" t="s">
        <v>1023</v>
      </c>
      <c r="F645" s="338" t="s">
        <v>289</v>
      </c>
      <c r="G645" s="343">
        <f>G646</f>
        <v>2266.6999999999998</v>
      </c>
      <c r="H645" s="343">
        <f>H646</f>
        <v>2266.6999999999998</v>
      </c>
      <c r="I645" s="218"/>
    </row>
    <row r="646" spans="1:9" ht="15.75" x14ac:dyDescent="0.25">
      <c r="A646" s="342" t="s">
        <v>290</v>
      </c>
      <c r="B646" s="336">
        <v>906</v>
      </c>
      <c r="C646" s="338" t="s">
        <v>280</v>
      </c>
      <c r="D646" s="338" t="s">
        <v>229</v>
      </c>
      <c r="E646" s="338" t="s">
        <v>1023</v>
      </c>
      <c r="F646" s="338" t="s">
        <v>291</v>
      </c>
      <c r="G646" s="343">
        <f>2266.7</f>
        <v>2266.6999999999998</v>
      </c>
      <c r="H646" s="343">
        <f t="shared" si="48"/>
        <v>2266.6999999999998</v>
      </c>
      <c r="I646" s="218"/>
    </row>
    <row r="647" spans="1:9" ht="47.25" x14ac:dyDescent="0.25">
      <c r="A647" s="31" t="s">
        <v>478</v>
      </c>
      <c r="B647" s="336">
        <v>906</v>
      </c>
      <c r="C647" s="338" t="s">
        <v>280</v>
      </c>
      <c r="D647" s="338" t="s">
        <v>229</v>
      </c>
      <c r="E647" s="338" t="s">
        <v>1050</v>
      </c>
      <c r="F647" s="338"/>
      <c r="G647" s="343">
        <f>G648</f>
        <v>923.4</v>
      </c>
      <c r="H647" s="343">
        <f>H648</f>
        <v>923.4</v>
      </c>
      <c r="I647" s="218"/>
    </row>
    <row r="648" spans="1:9" ht="31.5" x14ac:dyDescent="0.25">
      <c r="A648" s="342" t="s">
        <v>288</v>
      </c>
      <c r="B648" s="336">
        <v>906</v>
      </c>
      <c r="C648" s="338" t="s">
        <v>280</v>
      </c>
      <c r="D648" s="338" t="s">
        <v>229</v>
      </c>
      <c r="E648" s="338" t="s">
        <v>1050</v>
      </c>
      <c r="F648" s="338" t="s">
        <v>289</v>
      </c>
      <c r="G648" s="343">
        <f>G649</f>
        <v>923.4</v>
      </c>
      <c r="H648" s="343">
        <f>H649</f>
        <v>923.4</v>
      </c>
      <c r="I648" s="218"/>
    </row>
    <row r="649" spans="1:9" ht="15.75" x14ac:dyDescent="0.25">
      <c r="A649" s="342" t="s">
        <v>290</v>
      </c>
      <c r="B649" s="336">
        <v>906</v>
      </c>
      <c r="C649" s="338" t="s">
        <v>280</v>
      </c>
      <c r="D649" s="338" t="s">
        <v>229</v>
      </c>
      <c r="E649" s="338" t="s">
        <v>1050</v>
      </c>
      <c r="F649" s="338" t="s">
        <v>291</v>
      </c>
      <c r="G649" s="343">
        <f>923.4</f>
        <v>923.4</v>
      </c>
      <c r="H649" s="343">
        <f t="shared" si="48"/>
        <v>923.4</v>
      </c>
      <c r="I649" s="218"/>
    </row>
    <row r="650" spans="1:9" ht="94.5" hidden="1" x14ac:dyDescent="0.25">
      <c r="A650" s="31" t="s">
        <v>480</v>
      </c>
      <c r="B650" s="336">
        <v>906</v>
      </c>
      <c r="C650" s="338" t="s">
        <v>280</v>
      </c>
      <c r="D650" s="338" t="s">
        <v>229</v>
      </c>
      <c r="E650" s="338" t="s">
        <v>1024</v>
      </c>
      <c r="F650" s="338"/>
      <c r="G650" s="343">
        <f>G651</f>
        <v>0</v>
      </c>
      <c r="H650" s="343">
        <f>H651</f>
        <v>0</v>
      </c>
      <c r="I650" s="218"/>
    </row>
    <row r="651" spans="1:9" ht="31.5" hidden="1" x14ac:dyDescent="0.25">
      <c r="A651" s="342" t="s">
        <v>288</v>
      </c>
      <c r="B651" s="336">
        <v>906</v>
      </c>
      <c r="C651" s="338" t="s">
        <v>280</v>
      </c>
      <c r="D651" s="338" t="s">
        <v>229</v>
      </c>
      <c r="E651" s="338" t="s">
        <v>1024</v>
      </c>
      <c r="F651" s="338" t="s">
        <v>289</v>
      </c>
      <c r="G651" s="343">
        <f>G652</f>
        <v>0</v>
      </c>
      <c r="H651" s="343">
        <f>H652</f>
        <v>0</v>
      </c>
      <c r="I651" s="218"/>
    </row>
    <row r="652" spans="1:9" ht="15.75" hidden="1" x14ac:dyDescent="0.25">
      <c r="A652" s="342" t="s">
        <v>290</v>
      </c>
      <c r="B652" s="336">
        <v>906</v>
      </c>
      <c r="C652" s="338" t="s">
        <v>280</v>
      </c>
      <c r="D652" s="338" t="s">
        <v>229</v>
      </c>
      <c r="E652" s="338" t="s">
        <v>1024</v>
      </c>
      <c r="F652" s="338" t="s">
        <v>291</v>
      </c>
      <c r="G652" s="343"/>
      <c r="H652" s="343">
        <f t="shared" si="48"/>
        <v>0</v>
      </c>
      <c r="I652" s="218"/>
    </row>
    <row r="653" spans="1:9" ht="31.5" x14ac:dyDescent="0.25">
      <c r="A653" s="272" t="s">
        <v>446</v>
      </c>
      <c r="B653" s="337">
        <v>906</v>
      </c>
      <c r="C653" s="341" t="s">
        <v>280</v>
      </c>
      <c r="D653" s="341" t="s">
        <v>229</v>
      </c>
      <c r="E653" s="341" t="s">
        <v>447</v>
      </c>
      <c r="F653" s="341"/>
      <c r="G653" s="339">
        <f>G654+G667+G674+G681+G688</f>
        <v>8844.0999999999985</v>
      </c>
      <c r="H653" s="339">
        <f>H654+H667+H674+H681+H688</f>
        <v>8852.5999999999985</v>
      </c>
      <c r="I653" s="218"/>
    </row>
    <row r="654" spans="1:9" ht="31.5" x14ac:dyDescent="0.25">
      <c r="A654" s="340" t="s">
        <v>1029</v>
      </c>
      <c r="B654" s="275">
        <v>906</v>
      </c>
      <c r="C654" s="341" t="s">
        <v>280</v>
      </c>
      <c r="D654" s="341" t="s">
        <v>229</v>
      </c>
      <c r="E654" s="341" t="s">
        <v>1030</v>
      </c>
      <c r="F654" s="341"/>
      <c r="G654" s="339">
        <f>G655+G658+G661+G664</f>
        <v>224</v>
      </c>
      <c r="H654" s="339">
        <f>H655+H658+H661+H664</f>
        <v>224</v>
      </c>
      <c r="I654" s="218"/>
    </row>
    <row r="655" spans="1:9" ht="31.5" hidden="1" x14ac:dyDescent="0.25">
      <c r="A655" s="342" t="s">
        <v>456</v>
      </c>
      <c r="B655" s="37">
        <v>906</v>
      </c>
      <c r="C655" s="338" t="s">
        <v>280</v>
      </c>
      <c r="D655" s="338" t="s">
        <v>229</v>
      </c>
      <c r="E655" s="338" t="s">
        <v>1034</v>
      </c>
      <c r="F655" s="338"/>
      <c r="G655" s="343">
        <f>'Пр.4 ведом.20'!G661</f>
        <v>0</v>
      </c>
      <c r="H655" s="343">
        <f t="shared" ref="H655:H718" si="50">G655</f>
        <v>0</v>
      </c>
      <c r="I655" s="218"/>
    </row>
    <row r="656" spans="1:9" ht="31.5" hidden="1" x14ac:dyDescent="0.25">
      <c r="A656" s="342" t="s">
        <v>288</v>
      </c>
      <c r="B656" s="37">
        <v>906</v>
      </c>
      <c r="C656" s="338" t="s">
        <v>280</v>
      </c>
      <c r="D656" s="338" t="s">
        <v>229</v>
      </c>
      <c r="E656" s="338" t="s">
        <v>1034</v>
      </c>
      <c r="F656" s="338" t="s">
        <v>289</v>
      </c>
      <c r="G656" s="343">
        <f>'Пр.4 ведом.20'!G662</f>
        <v>0</v>
      </c>
      <c r="H656" s="343">
        <f t="shared" si="50"/>
        <v>0</v>
      </c>
      <c r="I656" s="218"/>
    </row>
    <row r="657" spans="1:9" ht="15.75" hidden="1" x14ac:dyDescent="0.25">
      <c r="A657" s="342" t="s">
        <v>290</v>
      </c>
      <c r="B657" s="37">
        <v>906</v>
      </c>
      <c r="C657" s="338" t="s">
        <v>280</v>
      </c>
      <c r="D657" s="338" t="s">
        <v>229</v>
      </c>
      <c r="E657" s="338" t="s">
        <v>1034</v>
      </c>
      <c r="F657" s="338" t="s">
        <v>291</v>
      </c>
      <c r="G657" s="343">
        <f>'Пр.4 ведом.20'!G663</f>
        <v>0</v>
      </c>
      <c r="H657" s="343">
        <f t="shared" si="50"/>
        <v>0</v>
      </c>
      <c r="I657" s="218"/>
    </row>
    <row r="658" spans="1:9" ht="31.5" hidden="1" x14ac:dyDescent="0.25">
      <c r="A658" s="342" t="s">
        <v>294</v>
      </c>
      <c r="B658" s="37">
        <v>906</v>
      </c>
      <c r="C658" s="338" t="s">
        <v>280</v>
      </c>
      <c r="D658" s="338" t="s">
        <v>229</v>
      </c>
      <c r="E658" s="338" t="s">
        <v>1035</v>
      </c>
      <c r="F658" s="338"/>
      <c r="G658" s="343">
        <f>'Пр.4 ведом.20'!G664</f>
        <v>0</v>
      </c>
      <c r="H658" s="343">
        <f t="shared" si="50"/>
        <v>0</v>
      </c>
      <c r="I658" s="218"/>
    </row>
    <row r="659" spans="1:9" ht="31.5" hidden="1" x14ac:dyDescent="0.25">
      <c r="A659" s="342" t="s">
        <v>288</v>
      </c>
      <c r="B659" s="37">
        <v>906</v>
      </c>
      <c r="C659" s="338" t="s">
        <v>280</v>
      </c>
      <c r="D659" s="338" t="s">
        <v>229</v>
      </c>
      <c r="E659" s="338" t="s">
        <v>1035</v>
      </c>
      <c r="F659" s="338" t="s">
        <v>289</v>
      </c>
      <c r="G659" s="343">
        <f>'Пр.4 ведом.20'!G665</f>
        <v>0</v>
      </c>
      <c r="H659" s="343">
        <f t="shared" si="50"/>
        <v>0</v>
      </c>
      <c r="I659" s="218"/>
    </row>
    <row r="660" spans="1:9" ht="15.75" hidden="1" x14ac:dyDescent="0.25">
      <c r="A660" s="342" t="s">
        <v>290</v>
      </c>
      <c r="B660" s="37">
        <v>906</v>
      </c>
      <c r="C660" s="338" t="s">
        <v>280</v>
      </c>
      <c r="D660" s="338" t="s">
        <v>229</v>
      </c>
      <c r="E660" s="338" t="s">
        <v>1035</v>
      </c>
      <c r="F660" s="338" t="s">
        <v>291</v>
      </c>
      <c r="G660" s="343">
        <f>'Пр.4 ведом.20'!G666</f>
        <v>0</v>
      </c>
      <c r="H660" s="343">
        <f t="shared" si="50"/>
        <v>0</v>
      </c>
      <c r="I660" s="218"/>
    </row>
    <row r="661" spans="1:9" ht="31.5" hidden="1" x14ac:dyDescent="0.25">
      <c r="A661" s="342" t="s">
        <v>296</v>
      </c>
      <c r="B661" s="37">
        <v>906</v>
      </c>
      <c r="C661" s="338" t="s">
        <v>280</v>
      </c>
      <c r="D661" s="338" t="s">
        <v>229</v>
      </c>
      <c r="E661" s="338" t="s">
        <v>1036</v>
      </c>
      <c r="F661" s="338"/>
      <c r="G661" s="343">
        <f>G662</f>
        <v>0</v>
      </c>
      <c r="H661" s="343">
        <f>H662</f>
        <v>0</v>
      </c>
      <c r="I661" s="218"/>
    </row>
    <row r="662" spans="1:9" ht="31.5" hidden="1" x14ac:dyDescent="0.25">
      <c r="A662" s="342" t="s">
        <v>288</v>
      </c>
      <c r="B662" s="37">
        <v>906</v>
      </c>
      <c r="C662" s="338" t="s">
        <v>280</v>
      </c>
      <c r="D662" s="338" t="s">
        <v>229</v>
      </c>
      <c r="E662" s="338" t="s">
        <v>1036</v>
      </c>
      <c r="F662" s="338" t="s">
        <v>289</v>
      </c>
      <c r="G662" s="343">
        <f>G663</f>
        <v>0</v>
      </c>
      <c r="H662" s="343">
        <f>H663</f>
        <v>0</v>
      </c>
      <c r="I662" s="218"/>
    </row>
    <row r="663" spans="1:9" ht="15.75" hidden="1" x14ac:dyDescent="0.25">
      <c r="A663" s="342" t="s">
        <v>290</v>
      </c>
      <c r="B663" s="37">
        <v>906</v>
      </c>
      <c r="C663" s="338" t="s">
        <v>280</v>
      </c>
      <c r="D663" s="338" t="s">
        <v>229</v>
      </c>
      <c r="E663" s="338" t="s">
        <v>1036</v>
      </c>
      <c r="F663" s="338" t="s">
        <v>291</v>
      </c>
      <c r="G663" s="343">
        <v>0</v>
      </c>
      <c r="H663" s="343">
        <v>0</v>
      </c>
      <c r="I663" s="218"/>
    </row>
    <row r="664" spans="1:9" ht="31.5" x14ac:dyDescent="0.25">
      <c r="A664" s="342" t="s">
        <v>298</v>
      </c>
      <c r="B664" s="37">
        <v>906</v>
      </c>
      <c r="C664" s="338" t="s">
        <v>280</v>
      </c>
      <c r="D664" s="338" t="s">
        <v>229</v>
      </c>
      <c r="E664" s="338" t="s">
        <v>1037</v>
      </c>
      <c r="F664" s="338"/>
      <c r="G664" s="343">
        <f>G665</f>
        <v>224</v>
      </c>
      <c r="H664" s="343">
        <f>H665</f>
        <v>224</v>
      </c>
      <c r="I664" s="218"/>
    </row>
    <row r="665" spans="1:9" ht="31.5" x14ac:dyDescent="0.25">
      <c r="A665" s="342" t="s">
        <v>288</v>
      </c>
      <c r="B665" s="37">
        <v>906</v>
      </c>
      <c r="C665" s="338" t="s">
        <v>280</v>
      </c>
      <c r="D665" s="338" t="s">
        <v>229</v>
      </c>
      <c r="E665" s="338" t="s">
        <v>1037</v>
      </c>
      <c r="F665" s="338" t="s">
        <v>289</v>
      </c>
      <c r="G665" s="343">
        <f>G666</f>
        <v>224</v>
      </c>
      <c r="H665" s="343">
        <f>H666</f>
        <v>224</v>
      </c>
      <c r="I665" s="218"/>
    </row>
    <row r="666" spans="1:9" ht="15.75" x14ac:dyDescent="0.25">
      <c r="A666" s="342" t="s">
        <v>290</v>
      </c>
      <c r="B666" s="37">
        <v>906</v>
      </c>
      <c r="C666" s="338" t="s">
        <v>280</v>
      </c>
      <c r="D666" s="338" t="s">
        <v>229</v>
      </c>
      <c r="E666" s="338" t="s">
        <v>1037</v>
      </c>
      <c r="F666" s="338" t="s">
        <v>291</v>
      </c>
      <c r="G666" s="343">
        <f>224</f>
        <v>224</v>
      </c>
      <c r="H666" s="343">
        <f t="shared" si="50"/>
        <v>224</v>
      </c>
      <c r="I666" s="218"/>
    </row>
    <row r="667" spans="1:9" ht="31.5" x14ac:dyDescent="0.25">
      <c r="A667" s="340" t="s">
        <v>1031</v>
      </c>
      <c r="B667" s="275">
        <v>906</v>
      </c>
      <c r="C667" s="341" t="s">
        <v>280</v>
      </c>
      <c r="D667" s="341" t="s">
        <v>229</v>
      </c>
      <c r="E667" s="341" t="s">
        <v>1032</v>
      </c>
      <c r="F667" s="341"/>
      <c r="G667" s="339">
        <f>G668+G671</f>
        <v>3943.4</v>
      </c>
      <c r="H667" s="339">
        <f>H668+H671</f>
        <v>3951.9</v>
      </c>
      <c r="I667" s="218"/>
    </row>
    <row r="668" spans="1:9" ht="49.7" customHeight="1" x14ac:dyDescent="0.25">
      <c r="A668" s="345" t="s">
        <v>619</v>
      </c>
      <c r="B668" s="37">
        <v>906</v>
      </c>
      <c r="C668" s="338" t="s">
        <v>280</v>
      </c>
      <c r="D668" s="338" t="s">
        <v>229</v>
      </c>
      <c r="E668" s="338" t="s">
        <v>1038</v>
      </c>
      <c r="F668" s="338"/>
      <c r="G668" s="343">
        <f>G669</f>
        <v>2200</v>
      </c>
      <c r="H668" s="343">
        <f>H669</f>
        <v>2200</v>
      </c>
      <c r="I668" s="218"/>
    </row>
    <row r="669" spans="1:9" ht="31.5" x14ac:dyDescent="0.25">
      <c r="A669" s="342" t="s">
        <v>288</v>
      </c>
      <c r="B669" s="37">
        <v>906</v>
      </c>
      <c r="C669" s="338" t="s">
        <v>280</v>
      </c>
      <c r="D669" s="338" t="s">
        <v>229</v>
      </c>
      <c r="E669" s="338" t="s">
        <v>1038</v>
      </c>
      <c r="F669" s="338" t="s">
        <v>289</v>
      </c>
      <c r="G669" s="343">
        <f>G670</f>
        <v>2200</v>
      </c>
      <c r="H669" s="343">
        <f>H670</f>
        <v>2200</v>
      </c>
      <c r="I669" s="218"/>
    </row>
    <row r="670" spans="1:9" ht="15.75" x14ac:dyDescent="0.25">
      <c r="A670" s="342" t="s">
        <v>290</v>
      </c>
      <c r="B670" s="37">
        <v>906</v>
      </c>
      <c r="C670" s="338" t="s">
        <v>280</v>
      </c>
      <c r="D670" s="338" t="s">
        <v>229</v>
      </c>
      <c r="E670" s="338" t="s">
        <v>1038</v>
      </c>
      <c r="F670" s="338" t="s">
        <v>291</v>
      </c>
      <c r="G670" s="343">
        <f>2200</f>
        <v>2200</v>
      </c>
      <c r="H670" s="343">
        <f t="shared" si="50"/>
        <v>2200</v>
      </c>
      <c r="I670" s="218"/>
    </row>
    <row r="671" spans="1:9" ht="31.5" x14ac:dyDescent="0.25">
      <c r="A671" s="342" t="s">
        <v>472</v>
      </c>
      <c r="B671" s="37">
        <v>906</v>
      </c>
      <c r="C671" s="338" t="s">
        <v>280</v>
      </c>
      <c r="D671" s="338" t="s">
        <v>229</v>
      </c>
      <c r="E671" s="338" t="s">
        <v>1039</v>
      </c>
      <c r="F671" s="338"/>
      <c r="G671" s="343">
        <f>G672</f>
        <v>1743.4</v>
      </c>
      <c r="H671" s="343">
        <f>H672</f>
        <v>1751.9</v>
      </c>
      <c r="I671" s="218"/>
    </row>
    <row r="672" spans="1:9" ht="31.5" x14ac:dyDescent="0.25">
      <c r="A672" s="342" t="s">
        <v>288</v>
      </c>
      <c r="B672" s="37">
        <v>906</v>
      </c>
      <c r="C672" s="338" t="s">
        <v>280</v>
      </c>
      <c r="D672" s="338" t="s">
        <v>229</v>
      </c>
      <c r="E672" s="338" t="s">
        <v>1039</v>
      </c>
      <c r="F672" s="338" t="s">
        <v>289</v>
      </c>
      <c r="G672" s="343">
        <f>G673</f>
        <v>1743.4</v>
      </c>
      <c r="H672" s="343">
        <f>H673</f>
        <v>1751.9</v>
      </c>
      <c r="I672" s="218"/>
    </row>
    <row r="673" spans="1:9" ht="15.75" x14ac:dyDescent="0.25">
      <c r="A673" s="342" t="s">
        <v>290</v>
      </c>
      <c r="B673" s="37">
        <v>906</v>
      </c>
      <c r="C673" s="338" t="s">
        <v>280</v>
      </c>
      <c r="D673" s="338" t="s">
        <v>229</v>
      </c>
      <c r="E673" s="338" t="s">
        <v>1039</v>
      </c>
      <c r="F673" s="338" t="s">
        <v>291</v>
      </c>
      <c r="G673" s="343">
        <v>1743.4</v>
      </c>
      <c r="H673" s="343">
        <v>1751.9</v>
      </c>
      <c r="I673" s="218"/>
    </row>
    <row r="674" spans="1:9" ht="31.5" x14ac:dyDescent="0.25">
      <c r="A674" s="340" t="s">
        <v>1033</v>
      </c>
      <c r="B674" s="275">
        <v>906</v>
      </c>
      <c r="C674" s="341" t="s">
        <v>280</v>
      </c>
      <c r="D674" s="341" t="s">
        <v>229</v>
      </c>
      <c r="E674" s="341" t="s">
        <v>1040</v>
      </c>
      <c r="F674" s="341"/>
      <c r="G674" s="44">
        <f>G675+G678</f>
        <v>1364.7</v>
      </c>
      <c r="H674" s="44">
        <f>H675+H678</f>
        <v>1364.7</v>
      </c>
      <c r="I674" s="218"/>
    </row>
    <row r="675" spans="1:9" ht="47.25" x14ac:dyDescent="0.25">
      <c r="A675" s="342" t="s">
        <v>454</v>
      </c>
      <c r="B675" s="37">
        <v>906</v>
      </c>
      <c r="C675" s="338" t="s">
        <v>280</v>
      </c>
      <c r="D675" s="338" t="s">
        <v>229</v>
      </c>
      <c r="E675" s="338" t="s">
        <v>1041</v>
      </c>
      <c r="F675" s="338"/>
      <c r="G675" s="343">
        <f>G676</f>
        <v>868</v>
      </c>
      <c r="H675" s="343">
        <f>H676</f>
        <v>868</v>
      </c>
      <c r="I675" s="218"/>
    </row>
    <row r="676" spans="1:9" ht="31.5" x14ac:dyDescent="0.25">
      <c r="A676" s="342" t="s">
        <v>288</v>
      </c>
      <c r="B676" s="37">
        <v>906</v>
      </c>
      <c r="C676" s="338" t="s">
        <v>280</v>
      </c>
      <c r="D676" s="338" t="s">
        <v>229</v>
      </c>
      <c r="E676" s="338" t="s">
        <v>1041</v>
      </c>
      <c r="F676" s="338" t="s">
        <v>289</v>
      </c>
      <c r="G676" s="343">
        <f>G677</f>
        <v>868</v>
      </c>
      <c r="H676" s="343">
        <f>H677</f>
        <v>868</v>
      </c>
      <c r="I676" s="218"/>
    </row>
    <row r="677" spans="1:9" ht="15.75" x14ac:dyDescent="0.25">
      <c r="A677" s="342" t="s">
        <v>290</v>
      </c>
      <c r="B677" s="37">
        <v>906</v>
      </c>
      <c r="C677" s="338" t="s">
        <v>280</v>
      </c>
      <c r="D677" s="338" t="s">
        <v>229</v>
      </c>
      <c r="E677" s="338" t="s">
        <v>1041</v>
      </c>
      <c r="F677" s="338" t="s">
        <v>291</v>
      </c>
      <c r="G677" s="343">
        <f>868</f>
        <v>868</v>
      </c>
      <c r="H677" s="343">
        <f t="shared" si="50"/>
        <v>868</v>
      </c>
      <c r="I677" s="218"/>
    </row>
    <row r="678" spans="1:9" ht="47.25" x14ac:dyDescent="0.25">
      <c r="A678" s="342" t="s">
        <v>474</v>
      </c>
      <c r="B678" s="37">
        <v>906</v>
      </c>
      <c r="C678" s="338" t="s">
        <v>280</v>
      </c>
      <c r="D678" s="338" t="s">
        <v>229</v>
      </c>
      <c r="E678" s="338" t="s">
        <v>1042</v>
      </c>
      <c r="F678" s="338"/>
      <c r="G678" s="343">
        <f>G679</f>
        <v>496.7</v>
      </c>
      <c r="H678" s="343">
        <f>H679</f>
        <v>496.7</v>
      </c>
      <c r="I678" s="218"/>
    </row>
    <row r="679" spans="1:9" ht="31.5" x14ac:dyDescent="0.25">
      <c r="A679" s="273" t="s">
        <v>288</v>
      </c>
      <c r="B679" s="336">
        <v>906</v>
      </c>
      <c r="C679" s="338" t="s">
        <v>280</v>
      </c>
      <c r="D679" s="338" t="s">
        <v>229</v>
      </c>
      <c r="E679" s="338" t="s">
        <v>1042</v>
      </c>
      <c r="F679" s="338" t="s">
        <v>289</v>
      </c>
      <c r="G679" s="343">
        <f>G680</f>
        <v>496.7</v>
      </c>
      <c r="H679" s="343">
        <f>H680</f>
        <v>496.7</v>
      </c>
      <c r="I679" s="218"/>
    </row>
    <row r="680" spans="1:9" ht="15.75" x14ac:dyDescent="0.25">
      <c r="A680" s="342" t="s">
        <v>290</v>
      </c>
      <c r="B680" s="336">
        <v>906</v>
      </c>
      <c r="C680" s="338" t="s">
        <v>280</v>
      </c>
      <c r="D680" s="338" t="s">
        <v>229</v>
      </c>
      <c r="E680" s="338" t="s">
        <v>1042</v>
      </c>
      <c r="F680" s="338" t="s">
        <v>291</v>
      </c>
      <c r="G680" s="343">
        <f>496.7</f>
        <v>496.7</v>
      </c>
      <c r="H680" s="343">
        <f t="shared" si="50"/>
        <v>496.7</v>
      </c>
      <c r="I680" s="218"/>
    </row>
    <row r="681" spans="1:9" ht="31.5" x14ac:dyDescent="0.25">
      <c r="A681" s="231" t="s">
        <v>1077</v>
      </c>
      <c r="B681" s="337">
        <v>906</v>
      </c>
      <c r="C681" s="341" t="s">
        <v>280</v>
      </c>
      <c r="D681" s="341" t="s">
        <v>229</v>
      </c>
      <c r="E681" s="341" t="s">
        <v>1043</v>
      </c>
      <c r="F681" s="341"/>
      <c r="G681" s="44">
        <f>G682+G685</f>
        <v>2634</v>
      </c>
      <c r="H681" s="44">
        <f>H682+H685</f>
        <v>2634</v>
      </c>
      <c r="I681" s="218"/>
    </row>
    <row r="682" spans="1:9" ht="31.5" hidden="1" x14ac:dyDescent="0.25">
      <c r="A682" s="342" t="s">
        <v>817</v>
      </c>
      <c r="B682" s="336">
        <v>906</v>
      </c>
      <c r="C682" s="338" t="s">
        <v>280</v>
      </c>
      <c r="D682" s="338" t="s">
        <v>229</v>
      </c>
      <c r="E682" s="338" t="s">
        <v>1045</v>
      </c>
      <c r="F682" s="338"/>
      <c r="G682" s="343">
        <f>'Пр.4 ведом.20'!G688</f>
        <v>0</v>
      </c>
      <c r="H682" s="343">
        <f t="shared" si="50"/>
        <v>0</v>
      </c>
      <c r="I682" s="218"/>
    </row>
    <row r="683" spans="1:9" ht="31.5" hidden="1" x14ac:dyDescent="0.25">
      <c r="A683" s="342" t="s">
        <v>288</v>
      </c>
      <c r="B683" s="336">
        <v>906</v>
      </c>
      <c r="C683" s="338" t="s">
        <v>280</v>
      </c>
      <c r="D683" s="338" t="s">
        <v>229</v>
      </c>
      <c r="E683" s="338" t="s">
        <v>1045</v>
      </c>
      <c r="F683" s="338" t="s">
        <v>289</v>
      </c>
      <c r="G683" s="343">
        <f>'Пр.4 ведом.20'!G689</f>
        <v>0</v>
      </c>
      <c r="H683" s="343">
        <f t="shared" si="50"/>
        <v>0</v>
      </c>
      <c r="I683" s="218"/>
    </row>
    <row r="684" spans="1:9" ht="15.75" hidden="1" x14ac:dyDescent="0.25">
      <c r="A684" s="342" t="s">
        <v>290</v>
      </c>
      <c r="B684" s="336">
        <v>906</v>
      </c>
      <c r="C684" s="338" t="s">
        <v>280</v>
      </c>
      <c r="D684" s="338" t="s">
        <v>229</v>
      </c>
      <c r="E684" s="338" t="s">
        <v>1045</v>
      </c>
      <c r="F684" s="338" t="s">
        <v>291</v>
      </c>
      <c r="G684" s="343">
        <f>'Пр.4 ведом.20'!G690</f>
        <v>0</v>
      </c>
      <c r="H684" s="343">
        <f t="shared" si="50"/>
        <v>0</v>
      </c>
      <c r="I684" s="218"/>
    </row>
    <row r="685" spans="1:9" ht="31.5" x14ac:dyDescent="0.25">
      <c r="A685" s="60" t="s">
        <v>787</v>
      </c>
      <c r="B685" s="336">
        <v>906</v>
      </c>
      <c r="C685" s="338" t="s">
        <v>280</v>
      </c>
      <c r="D685" s="338" t="s">
        <v>229</v>
      </c>
      <c r="E685" s="338" t="s">
        <v>1046</v>
      </c>
      <c r="F685" s="338"/>
      <c r="G685" s="343">
        <f>G686</f>
        <v>2634</v>
      </c>
      <c r="H685" s="343">
        <f>H686</f>
        <v>2634</v>
      </c>
      <c r="I685" s="218"/>
    </row>
    <row r="686" spans="1:9" ht="31.5" x14ac:dyDescent="0.25">
      <c r="A686" s="345" t="s">
        <v>288</v>
      </c>
      <c r="B686" s="336">
        <v>906</v>
      </c>
      <c r="C686" s="338" t="s">
        <v>280</v>
      </c>
      <c r="D686" s="338" t="s">
        <v>229</v>
      </c>
      <c r="E686" s="338" t="s">
        <v>1046</v>
      </c>
      <c r="F686" s="338" t="s">
        <v>289</v>
      </c>
      <c r="G686" s="343">
        <f>G687</f>
        <v>2634</v>
      </c>
      <c r="H686" s="343">
        <f>H687</f>
        <v>2634</v>
      </c>
      <c r="I686" s="218"/>
    </row>
    <row r="687" spans="1:9" ht="15.75" x14ac:dyDescent="0.25">
      <c r="A687" s="192" t="s">
        <v>290</v>
      </c>
      <c r="B687" s="336">
        <v>906</v>
      </c>
      <c r="C687" s="338" t="s">
        <v>280</v>
      </c>
      <c r="D687" s="338" t="s">
        <v>229</v>
      </c>
      <c r="E687" s="338" t="s">
        <v>1046</v>
      </c>
      <c r="F687" s="338" t="s">
        <v>291</v>
      </c>
      <c r="G687" s="343">
        <f>2634</f>
        <v>2634</v>
      </c>
      <c r="H687" s="343">
        <f t="shared" si="50"/>
        <v>2634</v>
      </c>
      <c r="I687" s="218"/>
    </row>
    <row r="688" spans="1:9" ht="31.5" x14ac:dyDescent="0.25">
      <c r="A688" s="229" t="s">
        <v>1048</v>
      </c>
      <c r="B688" s="337">
        <v>906</v>
      </c>
      <c r="C688" s="341" t="s">
        <v>280</v>
      </c>
      <c r="D688" s="341" t="s">
        <v>229</v>
      </c>
      <c r="E688" s="341" t="s">
        <v>1044</v>
      </c>
      <c r="F688" s="341"/>
      <c r="G688" s="339">
        <f t="shared" ref="G688:H690" si="51">G689</f>
        <v>678</v>
      </c>
      <c r="H688" s="339">
        <f t="shared" si="51"/>
        <v>678</v>
      </c>
      <c r="I688" s="218"/>
    </row>
    <row r="689" spans="1:9" ht="50.25" customHeight="1" x14ac:dyDescent="0.25">
      <c r="A689" s="192" t="s">
        <v>874</v>
      </c>
      <c r="B689" s="336">
        <v>906</v>
      </c>
      <c r="C689" s="338" t="s">
        <v>280</v>
      </c>
      <c r="D689" s="338" t="s">
        <v>229</v>
      </c>
      <c r="E689" s="338" t="s">
        <v>1047</v>
      </c>
      <c r="F689" s="338"/>
      <c r="G689" s="343">
        <f t="shared" si="51"/>
        <v>678</v>
      </c>
      <c r="H689" s="343">
        <f t="shared" si="51"/>
        <v>678</v>
      </c>
      <c r="I689" s="218"/>
    </row>
    <row r="690" spans="1:9" ht="31.5" x14ac:dyDescent="0.25">
      <c r="A690" s="31" t="s">
        <v>288</v>
      </c>
      <c r="B690" s="336">
        <v>906</v>
      </c>
      <c r="C690" s="338" t="s">
        <v>280</v>
      </c>
      <c r="D690" s="338" t="s">
        <v>229</v>
      </c>
      <c r="E690" s="338" t="s">
        <v>1047</v>
      </c>
      <c r="F690" s="338" t="s">
        <v>289</v>
      </c>
      <c r="G690" s="343">
        <f t="shared" si="51"/>
        <v>678</v>
      </c>
      <c r="H690" s="343">
        <f t="shared" si="51"/>
        <v>678</v>
      </c>
      <c r="I690" s="218"/>
    </row>
    <row r="691" spans="1:9" ht="15.75" x14ac:dyDescent="0.25">
      <c r="A691" s="31" t="s">
        <v>290</v>
      </c>
      <c r="B691" s="336">
        <v>906</v>
      </c>
      <c r="C691" s="338" t="s">
        <v>280</v>
      </c>
      <c r="D691" s="338" t="s">
        <v>229</v>
      </c>
      <c r="E691" s="338" t="s">
        <v>1047</v>
      </c>
      <c r="F691" s="338" t="s">
        <v>291</v>
      </c>
      <c r="G691" s="343">
        <f>678</f>
        <v>678</v>
      </c>
      <c r="H691" s="343">
        <f t="shared" si="50"/>
        <v>678</v>
      </c>
      <c r="I691" s="218"/>
    </row>
    <row r="692" spans="1:9" ht="63" hidden="1" x14ac:dyDescent="0.25">
      <c r="A692" s="34" t="s">
        <v>805</v>
      </c>
      <c r="B692" s="337">
        <v>906</v>
      </c>
      <c r="C692" s="341" t="s">
        <v>280</v>
      </c>
      <c r="D692" s="341" t="s">
        <v>229</v>
      </c>
      <c r="E692" s="341" t="s">
        <v>340</v>
      </c>
      <c r="F692" s="341"/>
      <c r="G692" s="339">
        <f>G693</f>
        <v>0</v>
      </c>
      <c r="H692" s="339">
        <f>H693</f>
        <v>0</v>
      </c>
      <c r="I692" s="218"/>
    </row>
    <row r="693" spans="1:9" ht="63" hidden="1" x14ac:dyDescent="0.25">
      <c r="A693" s="34" t="s">
        <v>1190</v>
      </c>
      <c r="B693" s="337">
        <v>906</v>
      </c>
      <c r="C693" s="341" t="s">
        <v>280</v>
      </c>
      <c r="D693" s="341" t="s">
        <v>229</v>
      </c>
      <c r="E693" s="341" t="s">
        <v>1025</v>
      </c>
      <c r="F693" s="341"/>
      <c r="G693" s="339">
        <f>G694</f>
        <v>0</v>
      </c>
      <c r="H693" s="339">
        <f>H694</f>
        <v>0</v>
      </c>
      <c r="I693" s="218"/>
    </row>
    <row r="694" spans="1:9" ht="47.25" hidden="1" x14ac:dyDescent="0.25">
      <c r="A694" s="31" t="s">
        <v>1274</v>
      </c>
      <c r="B694" s="336">
        <v>906</v>
      </c>
      <c r="C694" s="338" t="s">
        <v>280</v>
      </c>
      <c r="D694" s="338" t="s">
        <v>229</v>
      </c>
      <c r="E694" s="338" t="s">
        <v>1026</v>
      </c>
      <c r="F694" s="338"/>
      <c r="G694" s="343">
        <f>G695</f>
        <v>0</v>
      </c>
      <c r="H694" s="343">
        <f t="shared" si="50"/>
        <v>0</v>
      </c>
      <c r="I694" s="218"/>
    </row>
    <row r="695" spans="1:9" ht="31.5" hidden="1" x14ac:dyDescent="0.25">
      <c r="A695" s="31" t="s">
        <v>288</v>
      </c>
      <c r="B695" s="336">
        <v>906</v>
      </c>
      <c r="C695" s="338" t="s">
        <v>280</v>
      </c>
      <c r="D695" s="338" t="s">
        <v>229</v>
      </c>
      <c r="E695" s="338" t="s">
        <v>1026</v>
      </c>
      <c r="F695" s="338" t="s">
        <v>289</v>
      </c>
      <c r="G695" s="343">
        <f>G696</f>
        <v>0</v>
      </c>
      <c r="H695" s="343">
        <f t="shared" si="50"/>
        <v>0</v>
      </c>
      <c r="I695" s="218"/>
    </row>
    <row r="696" spans="1:9" ht="15.75" hidden="1" x14ac:dyDescent="0.25">
      <c r="A696" s="31" t="s">
        <v>290</v>
      </c>
      <c r="B696" s="336">
        <v>906</v>
      </c>
      <c r="C696" s="338" t="s">
        <v>280</v>
      </c>
      <c r="D696" s="338" t="s">
        <v>229</v>
      </c>
      <c r="E696" s="338" t="s">
        <v>1026</v>
      </c>
      <c r="F696" s="338" t="s">
        <v>291</v>
      </c>
      <c r="G696" s="343">
        <v>0</v>
      </c>
      <c r="H696" s="343">
        <v>0</v>
      </c>
      <c r="I696" s="218"/>
    </row>
    <row r="697" spans="1:9" ht="63" x14ac:dyDescent="0.25">
      <c r="A697" s="41" t="s">
        <v>1425</v>
      </c>
      <c r="B697" s="337">
        <v>906</v>
      </c>
      <c r="C697" s="341" t="s">
        <v>280</v>
      </c>
      <c r="D697" s="341" t="s">
        <v>229</v>
      </c>
      <c r="E697" s="341" t="s">
        <v>728</v>
      </c>
      <c r="F697" s="235"/>
      <c r="G697" s="339">
        <f t="shared" ref="G697:H700" si="52">G698</f>
        <v>723.3</v>
      </c>
      <c r="H697" s="339">
        <f t="shared" si="52"/>
        <v>723.3</v>
      </c>
      <c r="I697" s="218"/>
    </row>
    <row r="698" spans="1:9" ht="47.25" x14ac:dyDescent="0.25">
      <c r="A698" s="41" t="s">
        <v>949</v>
      </c>
      <c r="B698" s="337">
        <v>906</v>
      </c>
      <c r="C698" s="341" t="s">
        <v>280</v>
      </c>
      <c r="D698" s="341" t="s">
        <v>229</v>
      </c>
      <c r="E698" s="341" t="s">
        <v>947</v>
      </c>
      <c r="F698" s="235"/>
      <c r="G698" s="339">
        <f t="shared" si="52"/>
        <v>723.3</v>
      </c>
      <c r="H698" s="339">
        <f t="shared" si="52"/>
        <v>723.3</v>
      </c>
      <c r="I698" s="218"/>
    </row>
    <row r="699" spans="1:9" ht="47.25" x14ac:dyDescent="0.25">
      <c r="A699" s="99" t="s">
        <v>803</v>
      </c>
      <c r="B699" s="336">
        <v>906</v>
      </c>
      <c r="C699" s="338" t="s">
        <v>280</v>
      </c>
      <c r="D699" s="338" t="s">
        <v>229</v>
      </c>
      <c r="E699" s="338" t="s">
        <v>1027</v>
      </c>
      <c r="F699" s="32"/>
      <c r="G699" s="343">
        <f t="shared" si="52"/>
        <v>723.3</v>
      </c>
      <c r="H699" s="343">
        <f t="shared" si="52"/>
        <v>723.3</v>
      </c>
      <c r="I699" s="218"/>
    </row>
    <row r="700" spans="1:9" ht="31.5" x14ac:dyDescent="0.25">
      <c r="A700" s="345" t="s">
        <v>288</v>
      </c>
      <c r="B700" s="336">
        <v>906</v>
      </c>
      <c r="C700" s="338" t="s">
        <v>280</v>
      </c>
      <c r="D700" s="338" t="s">
        <v>229</v>
      </c>
      <c r="E700" s="338" t="s">
        <v>1027</v>
      </c>
      <c r="F700" s="32" t="s">
        <v>289</v>
      </c>
      <c r="G700" s="343">
        <f t="shared" si="52"/>
        <v>723.3</v>
      </c>
      <c r="H700" s="343">
        <f t="shared" si="52"/>
        <v>723.3</v>
      </c>
      <c r="I700" s="218"/>
    </row>
    <row r="701" spans="1:9" ht="15.75" x14ac:dyDescent="0.25">
      <c r="A701" s="192" t="s">
        <v>290</v>
      </c>
      <c r="B701" s="336">
        <v>906</v>
      </c>
      <c r="C701" s="338" t="s">
        <v>280</v>
      </c>
      <c r="D701" s="338" t="s">
        <v>229</v>
      </c>
      <c r="E701" s="338" t="s">
        <v>1027</v>
      </c>
      <c r="F701" s="32" t="s">
        <v>291</v>
      </c>
      <c r="G701" s="343">
        <f>723.3</f>
        <v>723.3</v>
      </c>
      <c r="H701" s="343">
        <f t="shared" si="50"/>
        <v>723.3</v>
      </c>
      <c r="I701" s="218"/>
    </row>
    <row r="702" spans="1:9" ht="15.75" x14ac:dyDescent="0.25">
      <c r="A702" s="340" t="s">
        <v>281</v>
      </c>
      <c r="B702" s="337">
        <v>906</v>
      </c>
      <c r="C702" s="341" t="s">
        <v>280</v>
      </c>
      <c r="D702" s="341" t="s">
        <v>231</v>
      </c>
      <c r="E702" s="341"/>
      <c r="F702" s="341"/>
      <c r="G702" s="44">
        <f>G703+G731</f>
        <v>35226.899999999994</v>
      </c>
      <c r="H702" s="44">
        <f>H703+H731</f>
        <v>35226.899999999994</v>
      </c>
      <c r="I702" s="218"/>
    </row>
    <row r="703" spans="1:9" ht="47.25" x14ac:dyDescent="0.25">
      <c r="A703" s="340" t="s">
        <v>442</v>
      </c>
      <c r="B703" s="337">
        <v>906</v>
      </c>
      <c r="C703" s="341" t="s">
        <v>280</v>
      </c>
      <c r="D703" s="341" t="s">
        <v>231</v>
      </c>
      <c r="E703" s="341" t="s">
        <v>422</v>
      </c>
      <c r="F703" s="341"/>
      <c r="G703" s="44">
        <f>G704+G722</f>
        <v>34926.199999999997</v>
      </c>
      <c r="H703" s="44">
        <f>H704+H722</f>
        <v>34926.199999999997</v>
      </c>
      <c r="I703" s="218"/>
    </row>
    <row r="704" spans="1:9" ht="31.5" x14ac:dyDescent="0.25">
      <c r="A704" s="340" t="s">
        <v>423</v>
      </c>
      <c r="B704" s="337">
        <v>906</v>
      </c>
      <c r="C704" s="341" t="s">
        <v>280</v>
      </c>
      <c r="D704" s="341" t="s">
        <v>231</v>
      </c>
      <c r="E704" s="341" t="s">
        <v>424</v>
      </c>
      <c r="F704" s="341"/>
      <c r="G704" s="44">
        <f>G706+G709</f>
        <v>34237.199999999997</v>
      </c>
      <c r="H704" s="44">
        <f>H706+H709</f>
        <v>34237.199999999997</v>
      </c>
      <c r="I704" s="218"/>
    </row>
    <row r="705" spans="1:9" ht="31.5" x14ac:dyDescent="0.25">
      <c r="A705" s="340" t="s">
        <v>1028</v>
      </c>
      <c r="B705" s="337">
        <v>906</v>
      </c>
      <c r="C705" s="341" t="s">
        <v>280</v>
      </c>
      <c r="D705" s="341" t="s">
        <v>231</v>
      </c>
      <c r="E705" s="341" t="s">
        <v>1006</v>
      </c>
      <c r="F705" s="341"/>
      <c r="G705" s="44">
        <f t="shared" ref="G705:H707" si="53">G706</f>
        <v>32615</v>
      </c>
      <c r="H705" s="44">
        <f t="shared" si="53"/>
        <v>32615</v>
      </c>
      <c r="I705" s="218"/>
    </row>
    <row r="706" spans="1:9" ht="47.25" x14ac:dyDescent="0.25">
      <c r="A706" s="342" t="s">
        <v>286</v>
      </c>
      <c r="B706" s="336">
        <v>906</v>
      </c>
      <c r="C706" s="338" t="s">
        <v>280</v>
      </c>
      <c r="D706" s="338" t="s">
        <v>231</v>
      </c>
      <c r="E706" s="338" t="s">
        <v>1051</v>
      </c>
      <c r="F706" s="338"/>
      <c r="G706" s="343">
        <f t="shared" si="53"/>
        <v>32615</v>
      </c>
      <c r="H706" s="343">
        <f t="shared" si="53"/>
        <v>32615</v>
      </c>
      <c r="I706" s="218"/>
    </row>
    <row r="707" spans="1:9" ht="31.5" x14ac:dyDescent="0.25">
      <c r="A707" s="342" t="s">
        <v>288</v>
      </c>
      <c r="B707" s="336">
        <v>906</v>
      </c>
      <c r="C707" s="338" t="s">
        <v>280</v>
      </c>
      <c r="D707" s="338" t="s">
        <v>231</v>
      </c>
      <c r="E707" s="338" t="s">
        <v>1051</v>
      </c>
      <c r="F707" s="338" t="s">
        <v>289</v>
      </c>
      <c r="G707" s="343">
        <f t="shared" si="53"/>
        <v>32615</v>
      </c>
      <c r="H707" s="343">
        <f t="shared" si="53"/>
        <v>32615</v>
      </c>
      <c r="I707" s="218"/>
    </row>
    <row r="708" spans="1:9" ht="15.75" x14ac:dyDescent="0.25">
      <c r="A708" s="342" t="s">
        <v>290</v>
      </c>
      <c r="B708" s="336">
        <v>906</v>
      </c>
      <c r="C708" s="338" t="s">
        <v>280</v>
      </c>
      <c r="D708" s="338" t="s">
        <v>231</v>
      </c>
      <c r="E708" s="338" t="s">
        <v>1051</v>
      </c>
      <c r="F708" s="338" t="s">
        <v>291</v>
      </c>
      <c r="G708" s="343">
        <f>32615</f>
        <v>32615</v>
      </c>
      <c r="H708" s="343">
        <f t="shared" si="50"/>
        <v>32615</v>
      </c>
      <c r="I708" s="218"/>
    </row>
    <row r="709" spans="1:9" ht="47.25" x14ac:dyDescent="0.25">
      <c r="A709" s="340" t="s">
        <v>971</v>
      </c>
      <c r="B709" s="337">
        <v>906</v>
      </c>
      <c r="C709" s="341" t="s">
        <v>280</v>
      </c>
      <c r="D709" s="341" t="s">
        <v>231</v>
      </c>
      <c r="E709" s="341" t="s">
        <v>1021</v>
      </c>
      <c r="F709" s="341"/>
      <c r="G709" s="44">
        <f>G713+G716+G719+G710</f>
        <v>1622.1999999999998</v>
      </c>
      <c r="H709" s="44">
        <f>H713+H716+H719+H710</f>
        <v>1622.1999999999998</v>
      </c>
      <c r="I709" s="218"/>
    </row>
    <row r="710" spans="1:9" s="331" customFormat="1" ht="94.5" x14ac:dyDescent="0.25">
      <c r="A710" s="31" t="s">
        <v>309</v>
      </c>
      <c r="B710" s="336">
        <v>906</v>
      </c>
      <c r="C710" s="338" t="s">
        <v>280</v>
      </c>
      <c r="D710" s="338" t="s">
        <v>231</v>
      </c>
      <c r="E710" s="338" t="s">
        <v>1519</v>
      </c>
      <c r="F710" s="338"/>
      <c r="G710" s="344">
        <f>G711</f>
        <v>903.4</v>
      </c>
      <c r="H710" s="344">
        <f>H711</f>
        <v>903.4</v>
      </c>
      <c r="I710" s="332"/>
    </row>
    <row r="711" spans="1:9" s="331" customFormat="1" ht="31.5" x14ac:dyDescent="0.25">
      <c r="A711" s="342" t="s">
        <v>288</v>
      </c>
      <c r="B711" s="336">
        <v>906</v>
      </c>
      <c r="C711" s="338" t="s">
        <v>280</v>
      </c>
      <c r="D711" s="338" t="s">
        <v>231</v>
      </c>
      <c r="E711" s="338" t="s">
        <v>1519</v>
      </c>
      <c r="F711" s="338" t="s">
        <v>289</v>
      </c>
      <c r="G711" s="344">
        <f>G712</f>
        <v>903.4</v>
      </c>
      <c r="H711" s="344">
        <f>H712</f>
        <v>903.4</v>
      </c>
      <c r="I711" s="332"/>
    </row>
    <row r="712" spans="1:9" s="331" customFormat="1" ht="15.75" x14ac:dyDescent="0.25">
      <c r="A712" s="342" t="s">
        <v>290</v>
      </c>
      <c r="B712" s="336">
        <v>906</v>
      </c>
      <c r="C712" s="338" t="s">
        <v>280</v>
      </c>
      <c r="D712" s="338" t="s">
        <v>231</v>
      </c>
      <c r="E712" s="338" t="s">
        <v>1519</v>
      </c>
      <c r="F712" s="338" t="s">
        <v>291</v>
      </c>
      <c r="G712" s="344">
        <f>903.4</f>
        <v>903.4</v>
      </c>
      <c r="H712" s="344">
        <v>903.4</v>
      </c>
      <c r="I712" s="332"/>
    </row>
    <row r="713" spans="1:9" ht="63" x14ac:dyDescent="0.25">
      <c r="A713" s="31" t="s">
        <v>305</v>
      </c>
      <c r="B713" s="336">
        <v>906</v>
      </c>
      <c r="C713" s="338" t="s">
        <v>280</v>
      </c>
      <c r="D713" s="338" t="s">
        <v>231</v>
      </c>
      <c r="E713" s="338" t="s">
        <v>1020</v>
      </c>
      <c r="F713" s="338"/>
      <c r="G713" s="343">
        <f>G714</f>
        <v>169.3</v>
      </c>
      <c r="H713" s="343">
        <f>H714</f>
        <v>169.3</v>
      </c>
      <c r="I713" s="218"/>
    </row>
    <row r="714" spans="1:9" ht="31.5" x14ac:dyDescent="0.25">
      <c r="A714" s="342" t="s">
        <v>288</v>
      </c>
      <c r="B714" s="336">
        <v>906</v>
      </c>
      <c r="C714" s="338" t="s">
        <v>280</v>
      </c>
      <c r="D714" s="338" t="s">
        <v>231</v>
      </c>
      <c r="E714" s="338" t="s">
        <v>1020</v>
      </c>
      <c r="F714" s="338" t="s">
        <v>289</v>
      </c>
      <c r="G714" s="343">
        <f>G715</f>
        <v>169.3</v>
      </c>
      <c r="H714" s="343">
        <f>H715</f>
        <v>169.3</v>
      </c>
      <c r="I714" s="218"/>
    </row>
    <row r="715" spans="1:9" ht="15.75" x14ac:dyDescent="0.25">
      <c r="A715" s="342" t="s">
        <v>290</v>
      </c>
      <c r="B715" s="336">
        <v>906</v>
      </c>
      <c r="C715" s="338" t="s">
        <v>280</v>
      </c>
      <c r="D715" s="338" t="s">
        <v>231</v>
      </c>
      <c r="E715" s="338" t="s">
        <v>1020</v>
      </c>
      <c r="F715" s="338" t="s">
        <v>291</v>
      </c>
      <c r="G715" s="343">
        <f>169.3</f>
        <v>169.3</v>
      </c>
      <c r="H715" s="343">
        <f t="shared" si="50"/>
        <v>169.3</v>
      </c>
      <c r="I715" s="218"/>
    </row>
    <row r="716" spans="1:9" ht="63" x14ac:dyDescent="0.25">
      <c r="A716" s="31" t="s">
        <v>307</v>
      </c>
      <c r="B716" s="336">
        <v>906</v>
      </c>
      <c r="C716" s="338" t="s">
        <v>280</v>
      </c>
      <c r="D716" s="338" t="s">
        <v>231</v>
      </c>
      <c r="E716" s="338" t="s">
        <v>1023</v>
      </c>
      <c r="F716" s="338"/>
      <c r="G716" s="343">
        <f>G717</f>
        <v>549.5</v>
      </c>
      <c r="H716" s="343">
        <f>H717</f>
        <v>549.5</v>
      </c>
      <c r="I716" s="218"/>
    </row>
    <row r="717" spans="1:9" ht="31.5" x14ac:dyDescent="0.25">
      <c r="A717" s="342" t="s">
        <v>288</v>
      </c>
      <c r="B717" s="336">
        <v>906</v>
      </c>
      <c r="C717" s="338" t="s">
        <v>280</v>
      </c>
      <c r="D717" s="338" t="s">
        <v>231</v>
      </c>
      <c r="E717" s="338" t="s">
        <v>1023</v>
      </c>
      <c r="F717" s="338" t="s">
        <v>289</v>
      </c>
      <c r="G717" s="343">
        <f>G718</f>
        <v>549.5</v>
      </c>
      <c r="H717" s="343">
        <f>H718</f>
        <v>549.5</v>
      </c>
      <c r="I717" s="218"/>
    </row>
    <row r="718" spans="1:9" ht="15.75" x14ac:dyDescent="0.25">
      <c r="A718" s="342" t="s">
        <v>290</v>
      </c>
      <c r="B718" s="336">
        <v>906</v>
      </c>
      <c r="C718" s="338" t="s">
        <v>280</v>
      </c>
      <c r="D718" s="338" t="s">
        <v>231</v>
      </c>
      <c r="E718" s="338" t="s">
        <v>1023</v>
      </c>
      <c r="F718" s="338" t="s">
        <v>291</v>
      </c>
      <c r="G718" s="343">
        <f>549.5</f>
        <v>549.5</v>
      </c>
      <c r="H718" s="343">
        <f t="shared" si="50"/>
        <v>549.5</v>
      </c>
      <c r="I718" s="218"/>
    </row>
    <row r="719" spans="1:9" ht="94.5" hidden="1" x14ac:dyDescent="0.25">
      <c r="A719" s="31" t="s">
        <v>309</v>
      </c>
      <c r="B719" s="336">
        <v>906</v>
      </c>
      <c r="C719" s="338" t="s">
        <v>280</v>
      </c>
      <c r="D719" s="338" t="s">
        <v>231</v>
      </c>
      <c r="E719" s="338" t="s">
        <v>1024</v>
      </c>
      <c r="F719" s="338"/>
      <c r="G719" s="343">
        <f>G720</f>
        <v>0</v>
      </c>
      <c r="H719" s="343">
        <f>H720</f>
        <v>0</v>
      </c>
      <c r="I719" s="218"/>
    </row>
    <row r="720" spans="1:9" ht="31.5" hidden="1" x14ac:dyDescent="0.25">
      <c r="A720" s="342" t="s">
        <v>288</v>
      </c>
      <c r="B720" s="336">
        <v>906</v>
      </c>
      <c r="C720" s="338" t="s">
        <v>280</v>
      </c>
      <c r="D720" s="338" t="s">
        <v>231</v>
      </c>
      <c r="E720" s="338" t="s">
        <v>1024</v>
      </c>
      <c r="F720" s="338" t="s">
        <v>289</v>
      </c>
      <c r="G720" s="343">
        <f>G721</f>
        <v>0</v>
      </c>
      <c r="H720" s="343">
        <f>H721</f>
        <v>0</v>
      </c>
      <c r="I720" s="218"/>
    </row>
    <row r="721" spans="1:9" ht="15.75" hidden="1" x14ac:dyDescent="0.25">
      <c r="A721" s="342" t="s">
        <v>290</v>
      </c>
      <c r="B721" s="336">
        <v>906</v>
      </c>
      <c r="C721" s="338" t="s">
        <v>280</v>
      </c>
      <c r="D721" s="338" t="s">
        <v>231</v>
      </c>
      <c r="E721" s="338" t="s">
        <v>1024</v>
      </c>
      <c r="F721" s="338" t="s">
        <v>291</v>
      </c>
      <c r="G721" s="343"/>
      <c r="H721" s="343">
        <f t="shared" ref="H721:H788" si="54">G721</f>
        <v>0</v>
      </c>
      <c r="I721" s="218"/>
    </row>
    <row r="722" spans="1:9" ht="31.5" x14ac:dyDescent="0.25">
      <c r="A722" s="34" t="s">
        <v>721</v>
      </c>
      <c r="B722" s="337">
        <v>906</v>
      </c>
      <c r="C722" s="341" t="s">
        <v>280</v>
      </c>
      <c r="D722" s="341" t="s">
        <v>231</v>
      </c>
      <c r="E722" s="341" t="s">
        <v>463</v>
      </c>
      <c r="F722" s="341"/>
      <c r="G722" s="44">
        <f>G723+G727</f>
        <v>689</v>
      </c>
      <c r="H722" s="44">
        <f>H723+H727</f>
        <v>689</v>
      </c>
      <c r="I722" s="218"/>
    </row>
    <row r="723" spans="1:9" ht="31.5" hidden="1" x14ac:dyDescent="0.25">
      <c r="A723" s="340" t="s">
        <v>1052</v>
      </c>
      <c r="B723" s="337">
        <v>906</v>
      </c>
      <c r="C723" s="341" t="s">
        <v>280</v>
      </c>
      <c r="D723" s="341" t="s">
        <v>231</v>
      </c>
      <c r="E723" s="341" t="s">
        <v>1233</v>
      </c>
      <c r="F723" s="341"/>
      <c r="G723" s="44">
        <f>G724</f>
        <v>0</v>
      </c>
      <c r="H723" s="44">
        <f>H724</f>
        <v>0</v>
      </c>
      <c r="I723" s="218"/>
    </row>
    <row r="724" spans="1:9" ht="31.5" hidden="1" x14ac:dyDescent="0.25">
      <c r="A724" s="45" t="s">
        <v>789</v>
      </c>
      <c r="B724" s="336">
        <v>906</v>
      </c>
      <c r="C724" s="338" t="s">
        <v>280</v>
      </c>
      <c r="D724" s="338" t="s">
        <v>231</v>
      </c>
      <c r="E724" s="338" t="s">
        <v>1234</v>
      </c>
      <c r="F724" s="338"/>
      <c r="G724" s="343">
        <f>'Пр.4 ведом.20'!G740</f>
        <v>0</v>
      </c>
      <c r="H724" s="343">
        <f t="shared" si="54"/>
        <v>0</v>
      </c>
      <c r="I724" s="218"/>
    </row>
    <row r="725" spans="1:9" ht="31.5" hidden="1" x14ac:dyDescent="0.25">
      <c r="A725" s="31" t="s">
        <v>288</v>
      </c>
      <c r="B725" s="336">
        <v>906</v>
      </c>
      <c r="C725" s="338" t="s">
        <v>280</v>
      </c>
      <c r="D725" s="338" t="s">
        <v>231</v>
      </c>
      <c r="E725" s="338" t="s">
        <v>1234</v>
      </c>
      <c r="F725" s="338" t="s">
        <v>289</v>
      </c>
      <c r="G725" s="343">
        <f>'Пр.4 ведом.20'!G741</f>
        <v>0</v>
      </c>
      <c r="H725" s="343">
        <f t="shared" si="54"/>
        <v>0</v>
      </c>
      <c r="I725" s="218"/>
    </row>
    <row r="726" spans="1:9" ht="15.75" hidden="1" x14ac:dyDescent="0.25">
      <c r="A726" s="31" t="s">
        <v>290</v>
      </c>
      <c r="B726" s="336">
        <v>906</v>
      </c>
      <c r="C726" s="338" t="s">
        <v>280</v>
      </c>
      <c r="D726" s="338" t="s">
        <v>231</v>
      </c>
      <c r="E726" s="338" t="s">
        <v>1234</v>
      </c>
      <c r="F726" s="338" t="s">
        <v>291</v>
      </c>
      <c r="G726" s="343">
        <f>'Пр.4 ведом.20'!G742</f>
        <v>0</v>
      </c>
      <c r="H726" s="343">
        <f t="shared" si="54"/>
        <v>0</v>
      </c>
      <c r="I726" s="218"/>
    </row>
    <row r="727" spans="1:9" ht="31.5" x14ac:dyDescent="0.25">
      <c r="A727" s="231" t="s">
        <v>1077</v>
      </c>
      <c r="B727" s="337">
        <v>906</v>
      </c>
      <c r="C727" s="341" t="s">
        <v>280</v>
      </c>
      <c r="D727" s="341" t="s">
        <v>231</v>
      </c>
      <c r="E727" s="341" t="s">
        <v>1053</v>
      </c>
      <c r="F727" s="341"/>
      <c r="G727" s="44">
        <f t="shared" ref="G727:H729" si="55">G728</f>
        <v>689</v>
      </c>
      <c r="H727" s="44">
        <f t="shared" si="55"/>
        <v>689</v>
      </c>
      <c r="I727" s="218"/>
    </row>
    <row r="728" spans="1:9" ht="31.5" x14ac:dyDescent="0.25">
      <c r="A728" s="45" t="s">
        <v>787</v>
      </c>
      <c r="B728" s="336">
        <v>906</v>
      </c>
      <c r="C728" s="338" t="s">
        <v>280</v>
      </c>
      <c r="D728" s="338" t="s">
        <v>231</v>
      </c>
      <c r="E728" s="338" t="s">
        <v>1054</v>
      </c>
      <c r="F728" s="338"/>
      <c r="G728" s="343">
        <f t="shared" si="55"/>
        <v>689</v>
      </c>
      <c r="H728" s="343">
        <f t="shared" si="55"/>
        <v>689</v>
      </c>
      <c r="I728" s="218"/>
    </row>
    <row r="729" spans="1:9" ht="31.5" x14ac:dyDescent="0.25">
      <c r="A729" s="342" t="s">
        <v>288</v>
      </c>
      <c r="B729" s="336">
        <v>906</v>
      </c>
      <c r="C729" s="338" t="s">
        <v>280</v>
      </c>
      <c r="D729" s="338" t="s">
        <v>231</v>
      </c>
      <c r="E729" s="338" t="s">
        <v>1054</v>
      </c>
      <c r="F729" s="338" t="s">
        <v>289</v>
      </c>
      <c r="G729" s="343">
        <f t="shared" si="55"/>
        <v>689</v>
      </c>
      <c r="H729" s="343">
        <f t="shared" si="55"/>
        <v>689</v>
      </c>
      <c r="I729" s="218"/>
    </row>
    <row r="730" spans="1:9" ht="15.75" x14ac:dyDescent="0.25">
      <c r="A730" s="31" t="s">
        <v>290</v>
      </c>
      <c r="B730" s="336">
        <v>906</v>
      </c>
      <c r="C730" s="338" t="s">
        <v>280</v>
      </c>
      <c r="D730" s="338" t="s">
        <v>231</v>
      </c>
      <c r="E730" s="338" t="s">
        <v>1054</v>
      </c>
      <c r="F730" s="338" t="s">
        <v>291</v>
      </c>
      <c r="G730" s="343">
        <f>689</f>
        <v>689</v>
      </c>
      <c r="H730" s="343">
        <f t="shared" si="54"/>
        <v>689</v>
      </c>
      <c r="I730" s="218"/>
    </row>
    <row r="731" spans="1:9" ht="63" x14ac:dyDescent="0.25">
      <c r="A731" s="41" t="s">
        <v>1425</v>
      </c>
      <c r="B731" s="337">
        <v>906</v>
      </c>
      <c r="C731" s="341" t="s">
        <v>280</v>
      </c>
      <c r="D731" s="341" t="s">
        <v>231</v>
      </c>
      <c r="E731" s="341" t="s">
        <v>728</v>
      </c>
      <c r="F731" s="235"/>
      <c r="G731" s="44">
        <f>G733</f>
        <v>300.7</v>
      </c>
      <c r="H731" s="44">
        <f>H733</f>
        <v>300.7</v>
      </c>
      <c r="I731" s="218"/>
    </row>
    <row r="732" spans="1:9" ht="47.25" x14ac:dyDescent="0.25">
      <c r="A732" s="41" t="s">
        <v>949</v>
      </c>
      <c r="B732" s="337">
        <v>906</v>
      </c>
      <c r="C732" s="341" t="s">
        <v>280</v>
      </c>
      <c r="D732" s="341" t="s">
        <v>1055</v>
      </c>
      <c r="E732" s="341" t="s">
        <v>947</v>
      </c>
      <c r="F732" s="235"/>
      <c r="G732" s="44">
        <f t="shared" ref="G732:H734" si="56">G733</f>
        <v>300.7</v>
      </c>
      <c r="H732" s="44">
        <f t="shared" si="56"/>
        <v>300.7</v>
      </c>
      <c r="I732" s="218"/>
    </row>
    <row r="733" spans="1:9" ht="47.25" x14ac:dyDescent="0.25">
      <c r="A733" s="99" t="s">
        <v>803</v>
      </c>
      <c r="B733" s="336">
        <v>906</v>
      </c>
      <c r="C733" s="338" t="s">
        <v>280</v>
      </c>
      <c r="D733" s="338" t="s">
        <v>231</v>
      </c>
      <c r="E733" s="338" t="s">
        <v>1027</v>
      </c>
      <c r="F733" s="32"/>
      <c r="G733" s="343">
        <f t="shared" si="56"/>
        <v>300.7</v>
      </c>
      <c r="H733" s="343">
        <f t="shared" si="56"/>
        <v>300.7</v>
      </c>
      <c r="I733" s="218"/>
    </row>
    <row r="734" spans="1:9" ht="31.5" x14ac:dyDescent="0.25">
      <c r="A734" s="345" t="s">
        <v>288</v>
      </c>
      <c r="B734" s="336">
        <v>906</v>
      </c>
      <c r="C734" s="338" t="s">
        <v>280</v>
      </c>
      <c r="D734" s="338" t="s">
        <v>231</v>
      </c>
      <c r="E734" s="338" t="s">
        <v>1027</v>
      </c>
      <c r="F734" s="32" t="s">
        <v>289</v>
      </c>
      <c r="G734" s="343">
        <f t="shared" si="56"/>
        <v>300.7</v>
      </c>
      <c r="H734" s="343">
        <f t="shared" si="56"/>
        <v>300.7</v>
      </c>
      <c r="I734" s="218"/>
    </row>
    <row r="735" spans="1:9" ht="15.75" x14ac:dyDescent="0.25">
      <c r="A735" s="192" t="s">
        <v>290</v>
      </c>
      <c r="B735" s="336">
        <v>906</v>
      </c>
      <c r="C735" s="338" t="s">
        <v>280</v>
      </c>
      <c r="D735" s="338" t="s">
        <v>231</v>
      </c>
      <c r="E735" s="338" t="s">
        <v>1027</v>
      </c>
      <c r="F735" s="32" t="s">
        <v>291</v>
      </c>
      <c r="G735" s="343">
        <f>300.7</f>
        <v>300.7</v>
      </c>
      <c r="H735" s="343">
        <f t="shared" si="54"/>
        <v>300.7</v>
      </c>
      <c r="I735" s="218"/>
    </row>
    <row r="736" spans="1:9" ht="15.75" x14ac:dyDescent="0.25">
      <c r="A736" s="340" t="s">
        <v>482</v>
      </c>
      <c r="B736" s="337">
        <v>906</v>
      </c>
      <c r="C736" s="341" t="s">
        <v>280</v>
      </c>
      <c r="D736" s="341" t="s">
        <v>280</v>
      </c>
      <c r="E736" s="341"/>
      <c r="F736" s="341"/>
      <c r="G736" s="339">
        <f>G737</f>
        <v>5804.9</v>
      </c>
      <c r="H736" s="339">
        <f>H737</f>
        <v>5804.9</v>
      </c>
      <c r="I736" s="218"/>
    </row>
    <row r="737" spans="1:9" ht="47.25" x14ac:dyDescent="0.25">
      <c r="A737" s="340" t="s">
        <v>1431</v>
      </c>
      <c r="B737" s="337">
        <v>906</v>
      </c>
      <c r="C737" s="341" t="s">
        <v>280</v>
      </c>
      <c r="D737" s="341" t="s">
        <v>280</v>
      </c>
      <c r="E737" s="341" t="s">
        <v>422</v>
      </c>
      <c r="F737" s="341"/>
      <c r="G737" s="339">
        <f t="shared" ref="G737:H737" si="57">G738</f>
        <v>5804.9</v>
      </c>
      <c r="H737" s="339">
        <f t="shared" si="57"/>
        <v>5804.9</v>
      </c>
      <c r="I737" s="218"/>
    </row>
    <row r="738" spans="1:9" ht="31.5" x14ac:dyDescent="0.25">
      <c r="A738" s="340" t="s">
        <v>483</v>
      </c>
      <c r="B738" s="337">
        <v>906</v>
      </c>
      <c r="C738" s="341" t="s">
        <v>280</v>
      </c>
      <c r="D738" s="341" t="s">
        <v>484</v>
      </c>
      <c r="E738" s="341" t="s">
        <v>485</v>
      </c>
      <c r="F738" s="341"/>
      <c r="G738" s="339">
        <f>G739</f>
        <v>5804.9</v>
      </c>
      <c r="H738" s="339">
        <f>H739</f>
        <v>5804.9</v>
      </c>
      <c r="I738" s="218"/>
    </row>
    <row r="739" spans="1:9" ht="31.5" x14ac:dyDescent="0.25">
      <c r="A739" s="340" t="s">
        <v>1056</v>
      </c>
      <c r="B739" s="337">
        <v>906</v>
      </c>
      <c r="C739" s="341" t="s">
        <v>280</v>
      </c>
      <c r="D739" s="341" t="s">
        <v>280</v>
      </c>
      <c r="E739" s="341" t="s">
        <v>1057</v>
      </c>
      <c r="F739" s="341"/>
      <c r="G739" s="339">
        <f>G740+G743</f>
        <v>5804.9</v>
      </c>
      <c r="H739" s="339">
        <f>H740+H743</f>
        <v>5804.9</v>
      </c>
      <c r="I739" s="218"/>
    </row>
    <row r="740" spans="1:9" ht="31.5" x14ac:dyDescent="0.25">
      <c r="A740" s="31" t="s">
        <v>1235</v>
      </c>
      <c r="B740" s="336">
        <v>906</v>
      </c>
      <c r="C740" s="338" t="s">
        <v>280</v>
      </c>
      <c r="D740" s="338" t="s">
        <v>280</v>
      </c>
      <c r="E740" s="338" t="s">
        <v>1058</v>
      </c>
      <c r="F740" s="338"/>
      <c r="G740" s="343">
        <f>G741</f>
        <v>3584</v>
      </c>
      <c r="H740" s="343">
        <f>H741</f>
        <v>3584</v>
      </c>
      <c r="I740" s="218"/>
    </row>
    <row r="741" spans="1:9" ht="31.5" x14ac:dyDescent="0.25">
      <c r="A741" s="342" t="s">
        <v>288</v>
      </c>
      <c r="B741" s="336">
        <v>906</v>
      </c>
      <c r="C741" s="338" t="s">
        <v>280</v>
      </c>
      <c r="D741" s="338" t="s">
        <v>280</v>
      </c>
      <c r="E741" s="338" t="s">
        <v>1058</v>
      </c>
      <c r="F741" s="338" t="s">
        <v>289</v>
      </c>
      <c r="G741" s="343">
        <f>G742</f>
        <v>3584</v>
      </c>
      <c r="H741" s="343">
        <f>H742</f>
        <v>3584</v>
      </c>
      <c r="I741" s="218"/>
    </row>
    <row r="742" spans="1:9" ht="15.75" x14ac:dyDescent="0.25">
      <c r="A742" s="342" t="s">
        <v>290</v>
      </c>
      <c r="B742" s="336">
        <v>906</v>
      </c>
      <c r="C742" s="338" t="s">
        <v>280</v>
      </c>
      <c r="D742" s="338" t="s">
        <v>280</v>
      </c>
      <c r="E742" s="338" t="s">
        <v>1058</v>
      </c>
      <c r="F742" s="338" t="s">
        <v>291</v>
      </c>
      <c r="G742" s="343">
        <f>3584</f>
        <v>3584</v>
      </c>
      <c r="H742" s="343">
        <f t="shared" si="54"/>
        <v>3584</v>
      </c>
      <c r="I742" s="218"/>
    </row>
    <row r="743" spans="1:9" ht="31.5" x14ac:dyDescent="0.25">
      <c r="A743" s="31" t="s">
        <v>1455</v>
      </c>
      <c r="B743" s="336">
        <v>906</v>
      </c>
      <c r="C743" s="338" t="s">
        <v>280</v>
      </c>
      <c r="D743" s="338" t="s">
        <v>280</v>
      </c>
      <c r="E743" s="338" t="s">
        <v>1059</v>
      </c>
      <c r="F743" s="338"/>
      <c r="G743" s="343">
        <f>G744</f>
        <v>2220.9</v>
      </c>
      <c r="H743" s="343">
        <f>H744</f>
        <v>2220.9</v>
      </c>
      <c r="I743" s="218"/>
    </row>
    <row r="744" spans="1:9" ht="31.5" x14ac:dyDescent="0.25">
      <c r="A744" s="342" t="s">
        <v>288</v>
      </c>
      <c r="B744" s="336">
        <v>906</v>
      </c>
      <c r="C744" s="338" t="s">
        <v>280</v>
      </c>
      <c r="D744" s="338" t="s">
        <v>280</v>
      </c>
      <c r="E744" s="338" t="s">
        <v>1059</v>
      </c>
      <c r="F744" s="338" t="s">
        <v>289</v>
      </c>
      <c r="G744" s="343">
        <f>G745</f>
        <v>2220.9</v>
      </c>
      <c r="H744" s="343">
        <f>H745</f>
        <v>2220.9</v>
      </c>
      <c r="I744" s="218"/>
    </row>
    <row r="745" spans="1:9" ht="15.75" x14ac:dyDescent="0.25">
      <c r="A745" s="342" t="s">
        <v>290</v>
      </c>
      <c r="B745" s="336">
        <v>906</v>
      </c>
      <c r="C745" s="338" t="s">
        <v>280</v>
      </c>
      <c r="D745" s="338" t="s">
        <v>280</v>
      </c>
      <c r="E745" s="338" t="s">
        <v>1059</v>
      </c>
      <c r="F745" s="338" t="s">
        <v>291</v>
      </c>
      <c r="G745" s="343">
        <v>2220.9</v>
      </c>
      <c r="H745" s="343">
        <f t="shared" si="54"/>
        <v>2220.9</v>
      </c>
      <c r="I745" s="218"/>
    </row>
    <row r="746" spans="1:9" ht="15.75" x14ac:dyDescent="0.25">
      <c r="A746" s="340" t="s">
        <v>311</v>
      </c>
      <c r="B746" s="337">
        <v>906</v>
      </c>
      <c r="C746" s="341" t="s">
        <v>280</v>
      </c>
      <c r="D746" s="341" t="s">
        <v>235</v>
      </c>
      <c r="E746" s="341"/>
      <c r="F746" s="341"/>
      <c r="G746" s="339">
        <f>G747+G757</f>
        <v>19830</v>
      </c>
      <c r="H746" s="339">
        <f>H747+H757</f>
        <v>19830</v>
      </c>
      <c r="I746" s="218"/>
    </row>
    <row r="747" spans="1:9" ht="31.5" x14ac:dyDescent="0.25">
      <c r="A747" s="340" t="s">
        <v>990</v>
      </c>
      <c r="B747" s="337">
        <v>906</v>
      </c>
      <c r="C747" s="341" t="s">
        <v>280</v>
      </c>
      <c r="D747" s="341" t="s">
        <v>235</v>
      </c>
      <c r="E747" s="341" t="s">
        <v>904</v>
      </c>
      <c r="F747" s="341"/>
      <c r="G747" s="339">
        <f>G748</f>
        <v>5585</v>
      </c>
      <c r="H747" s="339">
        <f>H748</f>
        <v>5585</v>
      </c>
      <c r="I747" s="218"/>
    </row>
    <row r="748" spans="1:9" ht="15.75" x14ac:dyDescent="0.25">
      <c r="A748" s="340" t="s">
        <v>991</v>
      </c>
      <c r="B748" s="337">
        <v>906</v>
      </c>
      <c r="C748" s="341" t="s">
        <v>280</v>
      </c>
      <c r="D748" s="341" t="s">
        <v>235</v>
      </c>
      <c r="E748" s="341" t="s">
        <v>905</v>
      </c>
      <c r="F748" s="341"/>
      <c r="G748" s="339">
        <f>G749+G754</f>
        <v>5585</v>
      </c>
      <c r="H748" s="339">
        <f>H749+H754</f>
        <v>5585</v>
      </c>
      <c r="I748" s="218"/>
    </row>
    <row r="749" spans="1:9" ht="31.5" x14ac:dyDescent="0.25">
      <c r="A749" s="342" t="s">
        <v>967</v>
      </c>
      <c r="B749" s="336">
        <v>906</v>
      </c>
      <c r="C749" s="338" t="s">
        <v>280</v>
      </c>
      <c r="D749" s="338" t="s">
        <v>235</v>
      </c>
      <c r="E749" s="338" t="s">
        <v>906</v>
      </c>
      <c r="F749" s="338"/>
      <c r="G749" s="343">
        <f>G750+G752</f>
        <v>5459</v>
      </c>
      <c r="H749" s="343">
        <f>H750+H752</f>
        <v>5459</v>
      </c>
      <c r="I749" s="218"/>
    </row>
    <row r="750" spans="1:9" ht="78.75" x14ac:dyDescent="0.25">
      <c r="A750" s="342" t="s">
        <v>143</v>
      </c>
      <c r="B750" s="336">
        <v>906</v>
      </c>
      <c r="C750" s="338" t="s">
        <v>280</v>
      </c>
      <c r="D750" s="338" t="s">
        <v>235</v>
      </c>
      <c r="E750" s="338" t="s">
        <v>906</v>
      </c>
      <c r="F750" s="338" t="s">
        <v>144</v>
      </c>
      <c r="G750" s="343">
        <f>G751</f>
        <v>5247</v>
      </c>
      <c r="H750" s="343">
        <f>H751</f>
        <v>5247</v>
      </c>
      <c r="I750" s="218"/>
    </row>
    <row r="751" spans="1:9" ht="31.5" x14ac:dyDescent="0.25">
      <c r="A751" s="342" t="s">
        <v>145</v>
      </c>
      <c r="B751" s="336">
        <v>906</v>
      </c>
      <c r="C751" s="338" t="s">
        <v>280</v>
      </c>
      <c r="D751" s="338" t="s">
        <v>235</v>
      </c>
      <c r="E751" s="338" t="s">
        <v>906</v>
      </c>
      <c r="F751" s="338" t="s">
        <v>146</v>
      </c>
      <c r="G751" s="343">
        <f>5247</f>
        <v>5247</v>
      </c>
      <c r="H751" s="343">
        <f t="shared" si="54"/>
        <v>5247</v>
      </c>
      <c r="I751" s="218"/>
    </row>
    <row r="752" spans="1:9" ht="31.5" x14ac:dyDescent="0.25">
      <c r="A752" s="342" t="s">
        <v>147</v>
      </c>
      <c r="B752" s="336">
        <v>906</v>
      </c>
      <c r="C752" s="338" t="s">
        <v>280</v>
      </c>
      <c r="D752" s="338" t="s">
        <v>235</v>
      </c>
      <c r="E752" s="338" t="s">
        <v>906</v>
      </c>
      <c r="F752" s="338" t="s">
        <v>148</v>
      </c>
      <c r="G752" s="343">
        <f>G753</f>
        <v>212</v>
      </c>
      <c r="H752" s="343">
        <f>H753</f>
        <v>212</v>
      </c>
      <c r="I752" s="218"/>
    </row>
    <row r="753" spans="1:9" ht="31.5" x14ac:dyDescent="0.25">
      <c r="A753" s="342" t="s">
        <v>149</v>
      </c>
      <c r="B753" s="336">
        <v>906</v>
      </c>
      <c r="C753" s="338" t="s">
        <v>280</v>
      </c>
      <c r="D753" s="338" t="s">
        <v>235</v>
      </c>
      <c r="E753" s="338" t="s">
        <v>906</v>
      </c>
      <c r="F753" s="338" t="s">
        <v>150</v>
      </c>
      <c r="G753" s="343">
        <f>212</f>
        <v>212</v>
      </c>
      <c r="H753" s="343">
        <f t="shared" si="54"/>
        <v>212</v>
      </c>
      <c r="I753" s="218"/>
    </row>
    <row r="754" spans="1:9" ht="47.25" x14ac:dyDescent="0.25">
      <c r="A754" s="342" t="s">
        <v>885</v>
      </c>
      <c r="B754" s="336">
        <v>906</v>
      </c>
      <c r="C754" s="338" t="s">
        <v>280</v>
      </c>
      <c r="D754" s="338" t="s">
        <v>235</v>
      </c>
      <c r="E754" s="338" t="s">
        <v>908</v>
      </c>
      <c r="F754" s="338"/>
      <c r="G754" s="343">
        <f>G755</f>
        <v>126</v>
      </c>
      <c r="H754" s="343">
        <f>H755</f>
        <v>126</v>
      </c>
      <c r="I754" s="218"/>
    </row>
    <row r="755" spans="1:9" ht="78.75" x14ac:dyDescent="0.25">
      <c r="A755" s="342" t="s">
        <v>143</v>
      </c>
      <c r="B755" s="336">
        <v>906</v>
      </c>
      <c r="C755" s="338" t="s">
        <v>280</v>
      </c>
      <c r="D755" s="338" t="s">
        <v>235</v>
      </c>
      <c r="E755" s="338" t="s">
        <v>908</v>
      </c>
      <c r="F755" s="338" t="s">
        <v>144</v>
      </c>
      <c r="G755" s="343">
        <f>G756</f>
        <v>126</v>
      </c>
      <c r="H755" s="343">
        <f>H756</f>
        <v>126</v>
      </c>
      <c r="I755" s="218"/>
    </row>
    <row r="756" spans="1:9" ht="31.5" x14ac:dyDescent="0.25">
      <c r="A756" s="342" t="s">
        <v>145</v>
      </c>
      <c r="B756" s="336">
        <v>906</v>
      </c>
      <c r="C756" s="338" t="s">
        <v>280</v>
      </c>
      <c r="D756" s="338" t="s">
        <v>235</v>
      </c>
      <c r="E756" s="338" t="s">
        <v>908</v>
      </c>
      <c r="F756" s="338" t="s">
        <v>146</v>
      </c>
      <c r="G756" s="343">
        <f>126</f>
        <v>126</v>
      </c>
      <c r="H756" s="343">
        <f t="shared" si="54"/>
        <v>126</v>
      </c>
      <c r="I756" s="218"/>
    </row>
    <row r="757" spans="1:9" ht="15.75" x14ac:dyDescent="0.25">
      <c r="A757" s="340" t="s">
        <v>157</v>
      </c>
      <c r="B757" s="337">
        <v>906</v>
      </c>
      <c r="C757" s="341" t="s">
        <v>280</v>
      </c>
      <c r="D757" s="341" t="s">
        <v>235</v>
      </c>
      <c r="E757" s="341" t="s">
        <v>912</v>
      </c>
      <c r="F757" s="341"/>
      <c r="G757" s="339">
        <f>G758+G762</f>
        <v>14245</v>
      </c>
      <c r="H757" s="339">
        <f>H758+H762</f>
        <v>14245</v>
      </c>
      <c r="I757" s="218"/>
    </row>
    <row r="758" spans="1:9" ht="31.5" x14ac:dyDescent="0.25">
      <c r="A758" s="340" t="s">
        <v>916</v>
      </c>
      <c r="B758" s="337">
        <v>906</v>
      </c>
      <c r="C758" s="341" t="s">
        <v>280</v>
      </c>
      <c r="D758" s="341" t="s">
        <v>235</v>
      </c>
      <c r="E758" s="341" t="s">
        <v>911</v>
      </c>
      <c r="F758" s="341"/>
      <c r="G758" s="339">
        <f t="shared" ref="G758:H760" si="58">G759</f>
        <v>300</v>
      </c>
      <c r="H758" s="339">
        <f t="shared" si="58"/>
        <v>300</v>
      </c>
      <c r="I758" s="218"/>
    </row>
    <row r="759" spans="1:9" ht="15.75" x14ac:dyDescent="0.25">
      <c r="A759" s="342" t="s">
        <v>494</v>
      </c>
      <c r="B759" s="336">
        <v>906</v>
      </c>
      <c r="C759" s="338" t="s">
        <v>280</v>
      </c>
      <c r="D759" s="338" t="s">
        <v>235</v>
      </c>
      <c r="E759" s="338" t="s">
        <v>1060</v>
      </c>
      <c r="F759" s="338"/>
      <c r="G759" s="343">
        <f t="shared" si="58"/>
        <v>300</v>
      </c>
      <c r="H759" s="343">
        <f t="shared" si="58"/>
        <v>300</v>
      </c>
      <c r="I759" s="218"/>
    </row>
    <row r="760" spans="1:9" ht="31.5" x14ac:dyDescent="0.25">
      <c r="A760" s="342" t="s">
        <v>147</v>
      </c>
      <c r="B760" s="336">
        <v>906</v>
      </c>
      <c r="C760" s="338" t="s">
        <v>280</v>
      </c>
      <c r="D760" s="338" t="s">
        <v>235</v>
      </c>
      <c r="E760" s="338" t="s">
        <v>1060</v>
      </c>
      <c r="F760" s="338" t="s">
        <v>148</v>
      </c>
      <c r="G760" s="343">
        <f t="shared" si="58"/>
        <v>300</v>
      </c>
      <c r="H760" s="343">
        <f t="shared" si="58"/>
        <v>300</v>
      </c>
      <c r="I760" s="218"/>
    </row>
    <row r="761" spans="1:9" ht="31.5" x14ac:dyDescent="0.25">
      <c r="A761" s="342" t="s">
        <v>149</v>
      </c>
      <c r="B761" s="336">
        <v>906</v>
      </c>
      <c r="C761" s="338" t="s">
        <v>280</v>
      </c>
      <c r="D761" s="338" t="s">
        <v>235</v>
      </c>
      <c r="E761" s="338" t="s">
        <v>1060</v>
      </c>
      <c r="F761" s="338" t="s">
        <v>150</v>
      </c>
      <c r="G761" s="343">
        <f>300</f>
        <v>300</v>
      </c>
      <c r="H761" s="343">
        <f t="shared" si="54"/>
        <v>300</v>
      </c>
      <c r="I761" s="218"/>
    </row>
    <row r="762" spans="1:9" ht="31.5" x14ac:dyDescent="0.25">
      <c r="A762" s="340" t="s">
        <v>1002</v>
      </c>
      <c r="B762" s="337">
        <v>906</v>
      </c>
      <c r="C762" s="341" t="s">
        <v>280</v>
      </c>
      <c r="D762" s="341" t="s">
        <v>235</v>
      </c>
      <c r="E762" s="341" t="s">
        <v>987</v>
      </c>
      <c r="F762" s="341"/>
      <c r="G762" s="339">
        <f>G763+G770</f>
        <v>13945</v>
      </c>
      <c r="H762" s="339">
        <f>H763+H770</f>
        <v>13945</v>
      </c>
      <c r="I762" s="218"/>
    </row>
    <row r="763" spans="1:9" ht="31.5" x14ac:dyDescent="0.25">
      <c r="A763" s="342" t="s">
        <v>1280</v>
      </c>
      <c r="B763" s="336">
        <v>906</v>
      </c>
      <c r="C763" s="338" t="s">
        <v>280</v>
      </c>
      <c r="D763" s="338" t="s">
        <v>235</v>
      </c>
      <c r="E763" s="338" t="s">
        <v>988</v>
      </c>
      <c r="F763" s="338"/>
      <c r="G763" s="343">
        <f>G764+G766+G768</f>
        <v>13609</v>
      </c>
      <c r="H763" s="343">
        <f>H764+H766+H768</f>
        <v>13609</v>
      </c>
      <c r="I763" s="218"/>
    </row>
    <row r="764" spans="1:9" ht="78.75" x14ac:dyDescent="0.25">
      <c r="A764" s="342" t="s">
        <v>143</v>
      </c>
      <c r="B764" s="336">
        <v>906</v>
      </c>
      <c r="C764" s="338" t="s">
        <v>280</v>
      </c>
      <c r="D764" s="338" t="s">
        <v>235</v>
      </c>
      <c r="E764" s="338" t="s">
        <v>988</v>
      </c>
      <c r="F764" s="338" t="s">
        <v>144</v>
      </c>
      <c r="G764" s="343">
        <f>G765</f>
        <v>12517</v>
      </c>
      <c r="H764" s="343">
        <f t="shared" si="54"/>
        <v>12517</v>
      </c>
      <c r="I764" s="218"/>
    </row>
    <row r="765" spans="1:9" ht="31.5" x14ac:dyDescent="0.25">
      <c r="A765" s="342" t="s">
        <v>358</v>
      </c>
      <c r="B765" s="336">
        <v>906</v>
      </c>
      <c r="C765" s="338" t="s">
        <v>280</v>
      </c>
      <c r="D765" s="338" t="s">
        <v>235</v>
      </c>
      <c r="E765" s="338" t="s">
        <v>988</v>
      </c>
      <c r="F765" s="338" t="s">
        <v>225</v>
      </c>
      <c r="G765" s="343">
        <f>12517</f>
        <v>12517</v>
      </c>
      <c r="H765" s="343">
        <f t="shared" si="54"/>
        <v>12517</v>
      </c>
      <c r="I765" s="218"/>
    </row>
    <row r="766" spans="1:9" ht="31.5" x14ac:dyDescent="0.25">
      <c r="A766" s="342" t="s">
        <v>147</v>
      </c>
      <c r="B766" s="336">
        <v>906</v>
      </c>
      <c r="C766" s="338" t="s">
        <v>280</v>
      </c>
      <c r="D766" s="338" t="s">
        <v>235</v>
      </c>
      <c r="E766" s="338" t="s">
        <v>988</v>
      </c>
      <c r="F766" s="338" t="s">
        <v>148</v>
      </c>
      <c r="G766" s="343">
        <f>G767</f>
        <v>1077</v>
      </c>
      <c r="H766" s="343">
        <f t="shared" si="54"/>
        <v>1077</v>
      </c>
      <c r="I766" s="218"/>
    </row>
    <row r="767" spans="1:9" ht="31.5" x14ac:dyDescent="0.25">
      <c r="A767" s="342" t="s">
        <v>149</v>
      </c>
      <c r="B767" s="336">
        <v>906</v>
      </c>
      <c r="C767" s="338" t="s">
        <v>280</v>
      </c>
      <c r="D767" s="338" t="s">
        <v>235</v>
      </c>
      <c r="E767" s="338" t="s">
        <v>988</v>
      </c>
      <c r="F767" s="338" t="s">
        <v>150</v>
      </c>
      <c r="G767" s="343">
        <f>1077</f>
        <v>1077</v>
      </c>
      <c r="H767" s="343">
        <f t="shared" si="54"/>
        <v>1077</v>
      </c>
      <c r="I767" s="218"/>
    </row>
    <row r="768" spans="1:9" ht="15.75" x14ac:dyDescent="0.25">
      <c r="A768" s="342" t="s">
        <v>151</v>
      </c>
      <c r="B768" s="336">
        <v>906</v>
      </c>
      <c r="C768" s="338" t="s">
        <v>280</v>
      </c>
      <c r="D768" s="338" t="s">
        <v>235</v>
      </c>
      <c r="E768" s="338" t="s">
        <v>988</v>
      </c>
      <c r="F768" s="338" t="s">
        <v>161</v>
      </c>
      <c r="G768" s="343">
        <f>G769</f>
        <v>15</v>
      </c>
      <c r="H768" s="343">
        <f t="shared" si="54"/>
        <v>15</v>
      </c>
      <c r="I768" s="218"/>
    </row>
    <row r="769" spans="1:9" ht="15.75" x14ac:dyDescent="0.25">
      <c r="A769" s="342" t="s">
        <v>584</v>
      </c>
      <c r="B769" s="336">
        <v>906</v>
      </c>
      <c r="C769" s="338" t="s">
        <v>280</v>
      </c>
      <c r="D769" s="338" t="s">
        <v>235</v>
      </c>
      <c r="E769" s="338" t="s">
        <v>988</v>
      </c>
      <c r="F769" s="338" t="s">
        <v>154</v>
      </c>
      <c r="G769" s="343">
        <f>15</f>
        <v>15</v>
      </c>
      <c r="H769" s="343">
        <f t="shared" si="54"/>
        <v>15</v>
      </c>
      <c r="I769" s="218"/>
    </row>
    <row r="770" spans="1:9" ht="47.25" x14ac:dyDescent="0.25">
      <c r="A770" s="342" t="s">
        <v>885</v>
      </c>
      <c r="B770" s="336">
        <v>906</v>
      </c>
      <c r="C770" s="338" t="s">
        <v>280</v>
      </c>
      <c r="D770" s="338" t="s">
        <v>235</v>
      </c>
      <c r="E770" s="338" t="s">
        <v>989</v>
      </c>
      <c r="F770" s="338"/>
      <c r="G770" s="343">
        <f>G771</f>
        <v>336</v>
      </c>
      <c r="H770" s="343">
        <f>H771</f>
        <v>336</v>
      </c>
      <c r="I770" s="218"/>
    </row>
    <row r="771" spans="1:9" ht="78.75" x14ac:dyDescent="0.25">
      <c r="A771" s="342" t="s">
        <v>143</v>
      </c>
      <c r="B771" s="336">
        <v>906</v>
      </c>
      <c r="C771" s="338" t="s">
        <v>280</v>
      </c>
      <c r="D771" s="338" t="s">
        <v>235</v>
      </c>
      <c r="E771" s="338" t="s">
        <v>989</v>
      </c>
      <c r="F771" s="338" t="s">
        <v>144</v>
      </c>
      <c r="G771" s="343">
        <f>G772</f>
        <v>336</v>
      </c>
      <c r="H771" s="343">
        <f>H772</f>
        <v>336</v>
      </c>
      <c r="I771" s="218"/>
    </row>
    <row r="772" spans="1:9" ht="31.5" x14ac:dyDescent="0.25">
      <c r="A772" s="342" t="s">
        <v>358</v>
      </c>
      <c r="B772" s="336">
        <v>906</v>
      </c>
      <c r="C772" s="338" t="s">
        <v>280</v>
      </c>
      <c r="D772" s="338" t="s">
        <v>235</v>
      </c>
      <c r="E772" s="338" t="s">
        <v>989</v>
      </c>
      <c r="F772" s="338" t="s">
        <v>225</v>
      </c>
      <c r="G772" s="343">
        <f>336</f>
        <v>336</v>
      </c>
      <c r="H772" s="343">
        <f t="shared" si="54"/>
        <v>336</v>
      </c>
      <c r="I772" s="218"/>
    </row>
    <row r="773" spans="1:9" ht="31.5" x14ac:dyDescent="0.25">
      <c r="A773" s="337" t="s">
        <v>496</v>
      </c>
      <c r="B773" s="337">
        <v>907</v>
      </c>
      <c r="C773" s="338"/>
      <c r="D773" s="338"/>
      <c r="E773" s="338"/>
      <c r="F773" s="338"/>
      <c r="G773" s="339">
        <f>G781+G774</f>
        <v>58553.599999999999</v>
      </c>
      <c r="H773" s="339">
        <f>H781+H774</f>
        <v>58553.599999999999</v>
      </c>
      <c r="I773" s="218"/>
    </row>
    <row r="774" spans="1:9" s="217" customFormat="1" ht="15.75" x14ac:dyDescent="0.25">
      <c r="A774" s="340" t="s">
        <v>133</v>
      </c>
      <c r="B774" s="337">
        <v>907</v>
      </c>
      <c r="C774" s="341" t="s">
        <v>134</v>
      </c>
      <c r="D774" s="341"/>
      <c r="E774" s="341"/>
      <c r="F774" s="341"/>
      <c r="G774" s="339">
        <f t="shared" ref="G774:H775" si="59">G775</f>
        <v>70</v>
      </c>
      <c r="H774" s="339">
        <f t="shared" si="59"/>
        <v>70</v>
      </c>
      <c r="I774" s="218"/>
    </row>
    <row r="775" spans="1:9" s="217" customFormat="1" ht="15.75" x14ac:dyDescent="0.25">
      <c r="A775" s="34" t="s">
        <v>155</v>
      </c>
      <c r="B775" s="337">
        <v>907</v>
      </c>
      <c r="C775" s="341" t="s">
        <v>134</v>
      </c>
      <c r="D775" s="341" t="s">
        <v>156</v>
      </c>
      <c r="E775" s="341"/>
      <c r="F775" s="341"/>
      <c r="G775" s="339">
        <f t="shared" si="59"/>
        <v>70</v>
      </c>
      <c r="H775" s="339">
        <f t="shared" si="59"/>
        <v>70</v>
      </c>
      <c r="I775" s="218"/>
    </row>
    <row r="776" spans="1:9" s="217" customFormat="1" ht="47.25" x14ac:dyDescent="0.25">
      <c r="A776" s="340" t="s">
        <v>1424</v>
      </c>
      <c r="B776" s="337">
        <v>907</v>
      </c>
      <c r="C776" s="341" t="s">
        <v>134</v>
      </c>
      <c r="D776" s="341" t="s">
        <v>156</v>
      </c>
      <c r="E776" s="341" t="s">
        <v>351</v>
      </c>
      <c r="F776" s="341"/>
      <c r="G776" s="339">
        <f t="shared" ref="G776:H779" si="60">G777</f>
        <v>70</v>
      </c>
      <c r="H776" s="339">
        <f t="shared" si="60"/>
        <v>70</v>
      </c>
      <c r="I776" s="218"/>
    </row>
    <row r="777" spans="1:9" s="217" customFormat="1" ht="31.5" x14ac:dyDescent="0.25">
      <c r="A777" s="225" t="s">
        <v>1225</v>
      </c>
      <c r="B777" s="337">
        <v>907</v>
      </c>
      <c r="C777" s="341" t="s">
        <v>134</v>
      </c>
      <c r="D777" s="341" t="s">
        <v>156</v>
      </c>
      <c r="E777" s="341" t="s">
        <v>1226</v>
      </c>
      <c r="F777" s="341"/>
      <c r="G777" s="339">
        <f t="shared" si="60"/>
        <v>70</v>
      </c>
      <c r="H777" s="339">
        <f t="shared" si="60"/>
        <v>70</v>
      </c>
      <c r="I777" s="218"/>
    </row>
    <row r="778" spans="1:9" s="217" customFormat="1" ht="31.5" x14ac:dyDescent="0.25">
      <c r="A778" s="98" t="s">
        <v>352</v>
      </c>
      <c r="B778" s="336">
        <v>907</v>
      </c>
      <c r="C778" s="338" t="s">
        <v>134</v>
      </c>
      <c r="D778" s="338" t="s">
        <v>156</v>
      </c>
      <c r="E778" s="338" t="s">
        <v>1227</v>
      </c>
      <c r="F778" s="338"/>
      <c r="G778" s="343">
        <f t="shared" si="60"/>
        <v>70</v>
      </c>
      <c r="H778" s="343">
        <f t="shared" si="60"/>
        <v>70</v>
      </c>
      <c r="I778" s="218"/>
    </row>
    <row r="779" spans="1:9" s="217" customFormat="1" ht="31.5" x14ac:dyDescent="0.25">
      <c r="A779" s="342" t="s">
        <v>147</v>
      </c>
      <c r="B779" s="336">
        <v>907</v>
      </c>
      <c r="C779" s="338" t="s">
        <v>134</v>
      </c>
      <c r="D779" s="338" t="s">
        <v>156</v>
      </c>
      <c r="E779" s="338" t="s">
        <v>1227</v>
      </c>
      <c r="F779" s="338" t="s">
        <v>148</v>
      </c>
      <c r="G779" s="343">
        <f t="shared" si="60"/>
        <v>70</v>
      </c>
      <c r="H779" s="343">
        <f t="shared" si="60"/>
        <v>70</v>
      </c>
      <c r="I779" s="218"/>
    </row>
    <row r="780" spans="1:9" s="217" customFormat="1" ht="31.5" x14ac:dyDescent="0.25">
      <c r="A780" s="342" t="s">
        <v>149</v>
      </c>
      <c r="B780" s="336">
        <v>907</v>
      </c>
      <c r="C780" s="338" t="s">
        <v>134</v>
      </c>
      <c r="D780" s="338" t="s">
        <v>156</v>
      </c>
      <c r="E780" s="338" t="s">
        <v>1227</v>
      </c>
      <c r="F780" s="338" t="s">
        <v>150</v>
      </c>
      <c r="G780" s="343">
        <f>70</f>
        <v>70</v>
      </c>
      <c r="H780" s="343">
        <f t="shared" ref="H780" si="61">G780</f>
        <v>70</v>
      </c>
      <c r="I780" s="218"/>
    </row>
    <row r="781" spans="1:9" ht="15.75" x14ac:dyDescent="0.25">
      <c r="A781" s="340" t="s">
        <v>506</v>
      </c>
      <c r="B781" s="337">
        <v>907</v>
      </c>
      <c r="C781" s="341" t="s">
        <v>507</v>
      </c>
      <c r="D781" s="338"/>
      <c r="E781" s="338"/>
      <c r="F781" s="338"/>
      <c r="G781" s="339">
        <f>G782+G821</f>
        <v>58483.6</v>
      </c>
      <c r="H781" s="339">
        <f>H782+H821</f>
        <v>58483.6</v>
      </c>
      <c r="I781" s="218"/>
    </row>
    <row r="782" spans="1:9" ht="15.75" x14ac:dyDescent="0.25">
      <c r="A782" s="340" t="s">
        <v>508</v>
      </c>
      <c r="B782" s="337">
        <v>907</v>
      </c>
      <c r="C782" s="341" t="s">
        <v>507</v>
      </c>
      <c r="D782" s="341" t="s">
        <v>134</v>
      </c>
      <c r="E782" s="338"/>
      <c r="F782" s="338"/>
      <c r="G782" s="339">
        <f>G783+G816</f>
        <v>46727.6</v>
      </c>
      <c r="H782" s="339">
        <f>H783+H816</f>
        <v>46727.6</v>
      </c>
      <c r="I782" s="218"/>
    </row>
    <row r="783" spans="1:9" ht="47.25" x14ac:dyDescent="0.25">
      <c r="A783" s="340" t="s">
        <v>1433</v>
      </c>
      <c r="B783" s="337">
        <v>907</v>
      </c>
      <c r="C783" s="341" t="s">
        <v>507</v>
      </c>
      <c r="D783" s="341" t="s">
        <v>134</v>
      </c>
      <c r="E783" s="341" t="s">
        <v>498</v>
      </c>
      <c r="F783" s="341"/>
      <c r="G783" s="339">
        <f>G784</f>
        <v>46187.5</v>
      </c>
      <c r="H783" s="339">
        <f>H784</f>
        <v>46187.5</v>
      </c>
      <c r="I783" s="218"/>
    </row>
    <row r="784" spans="1:9" ht="47.25" x14ac:dyDescent="0.25">
      <c r="A784" s="340" t="s">
        <v>1432</v>
      </c>
      <c r="B784" s="337">
        <v>907</v>
      </c>
      <c r="C784" s="341" t="s">
        <v>507</v>
      </c>
      <c r="D784" s="341" t="s">
        <v>134</v>
      </c>
      <c r="E784" s="341" t="s">
        <v>510</v>
      </c>
      <c r="F784" s="341"/>
      <c r="G784" s="339">
        <f>G785+G795+G805+G812</f>
        <v>46187.5</v>
      </c>
      <c r="H784" s="339">
        <f>H785+H795+H805+H812</f>
        <v>46187.5</v>
      </c>
      <c r="I784" s="218"/>
    </row>
    <row r="785" spans="1:9" ht="31.5" x14ac:dyDescent="0.25">
      <c r="A785" s="340" t="s">
        <v>1028</v>
      </c>
      <c r="B785" s="337">
        <v>907</v>
      </c>
      <c r="C785" s="341" t="s">
        <v>507</v>
      </c>
      <c r="D785" s="341" t="s">
        <v>134</v>
      </c>
      <c r="E785" s="341" t="s">
        <v>1061</v>
      </c>
      <c r="F785" s="341"/>
      <c r="G785" s="339">
        <f>G786+G789+G792</f>
        <v>44582</v>
      </c>
      <c r="H785" s="339">
        <f>H786+H789+H792</f>
        <v>44582</v>
      </c>
      <c r="I785" s="218"/>
    </row>
    <row r="786" spans="1:9" ht="47.25" x14ac:dyDescent="0.25">
      <c r="A786" s="342" t="s">
        <v>837</v>
      </c>
      <c r="B786" s="336">
        <v>907</v>
      </c>
      <c r="C786" s="338" t="s">
        <v>507</v>
      </c>
      <c r="D786" s="338" t="s">
        <v>134</v>
      </c>
      <c r="E786" s="338" t="s">
        <v>1071</v>
      </c>
      <c r="F786" s="338"/>
      <c r="G786" s="343">
        <f>G787</f>
        <v>13108</v>
      </c>
      <c r="H786" s="343">
        <f>H787</f>
        <v>13108</v>
      </c>
      <c r="I786" s="218"/>
    </row>
    <row r="787" spans="1:9" ht="31.5" x14ac:dyDescent="0.25">
      <c r="A787" s="342" t="s">
        <v>288</v>
      </c>
      <c r="B787" s="336">
        <v>907</v>
      </c>
      <c r="C787" s="338" t="s">
        <v>507</v>
      </c>
      <c r="D787" s="338" t="s">
        <v>134</v>
      </c>
      <c r="E787" s="338" t="s">
        <v>1071</v>
      </c>
      <c r="F787" s="338" t="s">
        <v>289</v>
      </c>
      <c r="G787" s="343">
        <f>G788</f>
        <v>13108</v>
      </c>
      <c r="H787" s="343">
        <f>H788</f>
        <v>13108</v>
      </c>
      <c r="I787" s="218"/>
    </row>
    <row r="788" spans="1:9" ht="15.75" x14ac:dyDescent="0.25">
      <c r="A788" s="342" t="s">
        <v>290</v>
      </c>
      <c r="B788" s="336">
        <v>907</v>
      </c>
      <c r="C788" s="338" t="s">
        <v>507</v>
      </c>
      <c r="D788" s="338" t="s">
        <v>134</v>
      </c>
      <c r="E788" s="338" t="s">
        <v>1071</v>
      </c>
      <c r="F788" s="338" t="s">
        <v>291</v>
      </c>
      <c r="G788" s="343">
        <f>13108</f>
        <v>13108</v>
      </c>
      <c r="H788" s="343">
        <f t="shared" si="54"/>
        <v>13108</v>
      </c>
      <c r="I788" s="218"/>
    </row>
    <row r="789" spans="1:9" ht="47.25" x14ac:dyDescent="0.25">
      <c r="A789" s="342" t="s">
        <v>858</v>
      </c>
      <c r="B789" s="336">
        <v>907</v>
      </c>
      <c r="C789" s="338" t="s">
        <v>507</v>
      </c>
      <c r="D789" s="338" t="s">
        <v>134</v>
      </c>
      <c r="E789" s="338" t="s">
        <v>1072</v>
      </c>
      <c r="F789" s="338"/>
      <c r="G789" s="343">
        <f>G790</f>
        <v>12897</v>
      </c>
      <c r="H789" s="343">
        <f>H790</f>
        <v>12897</v>
      </c>
      <c r="I789" s="218"/>
    </row>
    <row r="790" spans="1:9" ht="31.5" x14ac:dyDescent="0.25">
      <c r="A790" s="342" t="s">
        <v>288</v>
      </c>
      <c r="B790" s="336">
        <v>907</v>
      </c>
      <c r="C790" s="338" t="s">
        <v>507</v>
      </c>
      <c r="D790" s="338" t="s">
        <v>134</v>
      </c>
      <c r="E790" s="338" t="s">
        <v>1072</v>
      </c>
      <c r="F790" s="338" t="s">
        <v>289</v>
      </c>
      <c r="G790" s="343">
        <f>G791</f>
        <v>12897</v>
      </c>
      <c r="H790" s="343">
        <f>H791</f>
        <v>12897</v>
      </c>
      <c r="I790" s="218"/>
    </row>
    <row r="791" spans="1:9" ht="15.75" x14ac:dyDescent="0.25">
      <c r="A791" s="342" t="s">
        <v>290</v>
      </c>
      <c r="B791" s="336">
        <v>907</v>
      </c>
      <c r="C791" s="338" t="s">
        <v>507</v>
      </c>
      <c r="D791" s="338" t="s">
        <v>134</v>
      </c>
      <c r="E791" s="338" t="s">
        <v>1072</v>
      </c>
      <c r="F791" s="338" t="s">
        <v>291</v>
      </c>
      <c r="G791" s="343">
        <f>12897</f>
        <v>12897</v>
      </c>
      <c r="H791" s="343">
        <f t="shared" ref="H791:H849" si="62">G791</f>
        <v>12897</v>
      </c>
      <c r="I791" s="218"/>
    </row>
    <row r="792" spans="1:9" ht="47.25" x14ac:dyDescent="0.25">
      <c r="A792" s="342" t="s">
        <v>859</v>
      </c>
      <c r="B792" s="336">
        <v>907</v>
      </c>
      <c r="C792" s="338" t="s">
        <v>507</v>
      </c>
      <c r="D792" s="338" t="s">
        <v>134</v>
      </c>
      <c r="E792" s="338" t="s">
        <v>1073</v>
      </c>
      <c r="F792" s="338"/>
      <c r="G792" s="343">
        <f>G793</f>
        <v>18577</v>
      </c>
      <c r="H792" s="343">
        <f>H793</f>
        <v>18577</v>
      </c>
      <c r="I792" s="218"/>
    </row>
    <row r="793" spans="1:9" ht="31.5" x14ac:dyDescent="0.25">
      <c r="A793" s="342" t="s">
        <v>288</v>
      </c>
      <c r="B793" s="336">
        <v>907</v>
      </c>
      <c r="C793" s="338" t="s">
        <v>507</v>
      </c>
      <c r="D793" s="338" t="s">
        <v>134</v>
      </c>
      <c r="E793" s="338" t="s">
        <v>1073</v>
      </c>
      <c r="F793" s="338" t="s">
        <v>289</v>
      </c>
      <c r="G793" s="343">
        <f>G794</f>
        <v>18577</v>
      </c>
      <c r="H793" s="343">
        <f>H794</f>
        <v>18577</v>
      </c>
      <c r="I793" s="218"/>
    </row>
    <row r="794" spans="1:9" ht="15.75" x14ac:dyDescent="0.25">
      <c r="A794" s="342" t="s">
        <v>290</v>
      </c>
      <c r="B794" s="336">
        <v>907</v>
      </c>
      <c r="C794" s="338" t="s">
        <v>507</v>
      </c>
      <c r="D794" s="338" t="s">
        <v>134</v>
      </c>
      <c r="E794" s="338" t="s">
        <v>1073</v>
      </c>
      <c r="F794" s="338" t="s">
        <v>291</v>
      </c>
      <c r="G794" s="343">
        <f>18577</f>
        <v>18577</v>
      </c>
      <c r="H794" s="343">
        <f t="shared" si="62"/>
        <v>18577</v>
      </c>
      <c r="I794" s="218"/>
    </row>
    <row r="795" spans="1:9" ht="31.5" hidden="1" x14ac:dyDescent="0.25">
      <c r="A795" s="340" t="s">
        <v>1074</v>
      </c>
      <c r="B795" s="337">
        <v>907</v>
      </c>
      <c r="C795" s="341" t="s">
        <v>507</v>
      </c>
      <c r="D795" s="341" t="s">
        <v>134</v>
      </c>
      <c r="E795" s="341" t="s">
        <v>1075</v>
      </c>
      <c r="F795" s="341"/>
      <c r="G795" s="44">
        <f>G796+G799+G802</f>
        <v>36</v>
      </c>
      <c r="H795" s="44">
        <f>H796+H799+H802</f>
        <v>36</v>
      </c>
      <c r="I795" s="218"/>
    </row>
    <row r="796" spans="1:9" ht="31.5" hidden="1" x14ac:dyDescent="0.25">
      <c r="A796" s="342" t="s">
        <v>294</v>
      </c>
      <c r="B796" s="336">
        <v>907</v>
      </c>
      <c r="C796" s="338" t="s">
        <v>507</v>
      </c>
      <c r="D796" s="338" t="s">
        <v>134</v>
      </c>
      <c r="E796" s="338" t="s">
        <v>1079</v>
      </c>
      <c r="F796" s="338"/>
      <c r="G796" s="343">
        <f>'Пр.4 ведом.20'!G816</f>
        <v>0</v>
      </c>
      <c r="H796" s="343">
        <f t="shared" si="62"/>
        <v>0</v>
      </c>
      <c r="I796" s="218"/>
    </row>
    <row r="797" spans="1:9" ht="31.5" hidden="1" x14ac:dyDescent="0.25">
      <c r="A797" s="342" t="s">
        <v>288</v>
      </c>
      <c r="B797" s="336">
        <v>907</v>
      </c>
      <c r="C797" s="338" t="s">
        <v>507</v>
      </c>
      <c r="D797" s="338" t="s">
        <v>134</v>
      </c>
      <c r="E797" s="338" t="s">
        <v>1079</v>
      </c>
      <c r="F797" s="338" t="s">
        <v>289</v>
      </c>
      <c r="G797" s="343">
        <f>'Пр.4 ведом.20'!G817</f>
        <v>0</v>
      </c>
      <c r="H797" s="343">
        <f t="shared" si="62"/>
        <v>0</v>
      </c>
      <c r="I797" s="218"/>
    </row>
    <row r="798" spans="1:9" ht="15.75" hidden="1" x14ac:dyDescent="0.25">
      <c r="A798" s="342" t="s">
        <v>290</v>
      </c>
      <c r="B798" s="336">
        <v>907</v>
      </c>
      <c r="C798" s="338" t="s">
        <v>507</v>
      </c>
      <c r="D798" s="338" t="s">
        <v>134</v>
      </c>
      <c r="E798" s="338" t="s">
        <v>1079</v>
      </c>
      <c r="F798" s="338" t="s">
        <v>291</v>
      </c>
      <c r="G798" s="343">
        <f>'Пр.4 ведом.20'!G818</f>
        <v>0</v>
      </c>
      <c r="H798" s="343">
        <f t="shared" si="62"/>
        <v>0</v>
      </c>
      <c r="I798" s="218"/>
    </row>
    <row r="799" spans="1:9" ht="31.5" hidden="1" x14ac:dyDescent="0.25">
      <c r="A799" s="342" t="s">
        <v>296</v>
      </c>
      <c r="B799" s="336">
        <v>907</v>
      </c>
      <c r="C799" s="338" t="s">
        <v>507</v>
      </c>
      <c r="D799" s="338" t="s">
        <v>134</v>
      </c>
      <c r="E799" s="338" t="s">
        <v>1080</v>
      </c>
      <c r="F799" s="338"/>
      <c r="G799" s="343">
        <f>'Пр.4 ведом.20'!G819</f>
        <v>0</v>
      </c>
      <c r="H799" s="343">
        <f t="shared" si="62"/>
        <v>0</v>
      </c>
      <c r="I799" s="218"/>
    </row>
    <row r="800" spans="1:9" ht="31.5" hidden="1" x14ac:dyDescent="0.25">
      <c r="A800" s="342" t="s">
        <v>288</v>
      </c>
      <c r="B800" s="336">
        <v>907</v>
      </c>
      <c r="C800" s="338" t="s">
        <v>507</v>
      </c>
      <c r="D800" s="338" t="s">
        <v>134</v>
      </c>
      <c r="E800" s="338" t="s">
        <v>1080</v>
      </c>
      <c r="F800" s="338" t="s">
        <v>289</v>
      </c>
      <c r="G800" s="343">
        <f>'Пр.4 ведом.20'!G820</f>
        <v>0</v>
      </c>
      <c r="H800" s="343">
        <f t="shared" si="62"/>
        <v>0</v>
      </c>
      <c r="I800" s="218"/>
    </row>
    <row r="801" spans="1:9" ht="15.75" hidden="1" x14ac:dyDescent="0.25">
      <c r="A801" s="342" t="s">
        <v>290</v>
      </c>
      <c r="B801" s="336">
        <v>907</v>
      </c>
      <c r="C801" s="338" t="s">
        <v>507</v>
      </c>
      <c r="D801" s="338" t="s">
        <v>134</v>
      </c>
      <c r="E801" s="338" t="s">
        <v>1080</v>
      </c>
      <c r="F801" s="338" t="s">
        <v>291</v>
      </c>
      <c r="G801" s="343">
        <f>'Пр.4 ведом.20'!G821</f>
        <v>0</v>
      </c>
      <c r="H801" s="343">
        <f t="shared" si="62"/>
        <v>0</v>
      </c>
      <c r="I801" s="218"/>
    </row>
    <row r="802" spans="1:9" ht="15.75" x14ac:dyDescent="0.25">
      <c r="A802" s="342" t="s">
        <v>876</v>
      </c>
      <c r="B802" s="336">
        <v>907</v>
      </c>
      <c r="C802" s="338" t="s">
        <v>507</v>
      </c>
      <c r="D802" s="338" t="s">
        <v>134</v>
      </c>
      <c r="E802" s="338" t="s">
        <v>1081</v>
      </c>
      <c r="F802" s="338"/>
      <c r="G802" s="343">
        <f>G803</f>
        <v>36</v>
      </c>
      <c r="H802" s="343">
        <f>H803</f>
        <v>36</v>
      </c>
      <c r="I802" s="218"/>
    </row>
    <row r="803" spans="1:9" ht="31.5" x14ac:dyDescent="0.25">
      <c r="A803" s="342" t="s">
        <v>288</v>
      </c>
      <c r="B803" s="336">
        <v>907</v>
      </c>
      <c r="C803" s="338" t="s">
        <v>507</v>
      </c>
      <c r="D803" s="338" t="s">
        <v>134</v>
      </c>
      <c r="E803" s="338" t="s">
        <v>1081</v>
      </c>
      <c r="F803" s="338" t="s">
        <v>289</v>
      </c>
      <c r="G803" s="343">
        <f>G804</f>
        <v>36</v>
      </c>
      <c r="H803" s="343">
        <f>H804</f>
        <v>36</v>
      </c>
      <c r="I803" s="218"/>
    </row>
    <row r="804" spans="1:9" ht="15.75" x14ac:dyDescent="0.25">
      <c r="A804" s="342" t="s">
        <v>290</v>
      </c>
      <c r="B804" s="336">
        <v>907</v>
      </c>
      <c r="C804" s="338" t="s">
        <v>507</v>
      </c>
      <c r="D804" s="338" t="s">
        <v>134</v>
      </c>
      <c r="E804" s="338" t="s">
        <v>1081</v>
      </c>
      <c r="F804" s="338" t="s">
        <v>291</v>
      </c>
      <c r="G804" s="343">
        <f>36</f>
        <v>36</v>
      </c>
      <c r="H804" s="343">
        <f t="shared" si="62"/>
        <v>36</v>
      </c>
      <c r="I804" s="218"/>
    </row>
    <row r="805" spans="1:9" ht="31.5" x14ac:dyDescent="0.25">
      <c r="A805" s="340" t="s">
        <v>1076</v>
      </c>
      <c r="B805" s="337">
        <v>907</v>
      </c>
      <c r="C805" s="341" t="s">
        <v>507</v>
      </c>
      <c r="D805" s="341" t="s">
        <v>134</v>
      </c>
      <c r="E805" s="341" t="s">
        <v>1078</v>
      </c>
      <c r="F805" s="341"/>
      <c r="G805" s="339">
        <f>G806+G809</f>
        <v>756</v>
      </c>
      <c r="H805" s="339">
        <f>H806+H809</f>
        <v>756</v>
      </c>
      <c r="I805" s="218"/>
    </row>
    <row r="806" spans="1:9" ht="31.5" hidden="1" x14ac:dyDescent="0.25">
      <c r="A806" s="342" t="s">
        <v>817</v>
      </c>
      <c r="B806" s="336">
        <v>907</v>
      </c>
      <c r="C806" s="338" t="s">
        <v>507</v>
      </c>
      <c r="D806" s="338" t="s">
        <v>134</v>
      </c>
      <c r="E806" s="338" t="s">
        <v>1082</v>
      </c>
      <c r="F806" s="338"/>
      <c r="G806" s="343">
        <f>'Пр.4 ведом.20'!G826</f>
        <v>0</v>
      </c>
      <c r="H806" s="343">
        <f t="shared" si="62"/>
        <v>0</v>
      </c>
      <c r="I806" s="218"/>
    </row>
    <row r="807" spans="1:9" ht="31.5" hidden="1" x14ac:dyDescent="0.25">
      <c r="A807" s="342" t="s">
        <v>288</v>
      </c>
      <c r="B807" s="336">
        <v>907</v>
      </c>
      <c r="C807" s="338" t="s">
        <v>507</v>
      </c>
      <c r="D807" s="338" t="s">
        <v>134</v>
      </c>
      <c r="E807" s="338" t="s">
        <v>1082</v>
      </c>
      <c r="F807" s="338" t="s">
        <v>289</v>
      </c>
      <c r="G807" s="343">
        <f>'Пр.4 ведом.20'!G827</f>
        <v>0</v>
      </c>
      <c r="H807" s="343">
        <f t="shared" si="62"/>
        <v>0</v>
      </c>
      <c r="I807" s="218"/>
    </row>
    <row r="808" spans="1:9" ht="15.75" hidden="1" x14ac:dyDescent="0.25">
      <c r="A808" s="342" t="s">
        <v>290</v>
      </c>
      <c r="B808" s="336">
        <v>907</v>
      </c>
      <c r="C808" s="338" t="s">
        <v>507</v>
      </c>
      <c r="D808" s="338" t="s">
        <v>134</v>
      </c>
      <c r="E808" s="338" t="s">
        <v>1082</v>
      </c>
      <c r="F808" s="338" t="s">
        <v>291</v>
      </c>
      <c r="G808" s="343">
        <f>'Пр.4 ведом.20'!G828</f>
        <v>0</v>
      </c>
      <c r="H808" s="343">
        <f t="shared" si="62"/>
        <v>0</v>
      </c>
      <c r="I808" s="218"/>
    </row>
    <row r="809" spans="1:9" ht="31.5" x14ac:dyDescent="0.25">
      <c r="A809" s="45" t="s">
        <v>787</v>
      </c>
      <c r="B809" s="336">
        <v>907</v>
      </c>
      <c r="C809" s="338" t="s">
        <v>507</v>
      </c>
      <c r="D809" s="338" t="s">
        <v>134</v>
      </c>
      <c r="E809" s="338" t="s">
        <v>1083</v>
      </c>
      <c r="F809" s="338"/>
      <c r="G809" s="343">
        <f>G810</f>
        <v>756</v>
      </c>
      <c r="H809" s="343">
        <f>H810</f>
        <v>756</v>
      </c>
      <c r="I809" s="218"/>
    </row>
    <row r="810" spans="1:9" ht="31.5" x14ac:dyDescent="0.25">
      <c r="A810" s="31" t="s">
        <v>288</v>
      </c>
      <c r="B810" s="336">
        <v>907</v>
      </c>
      <c r="C810" s="338" t="s">
        <v>507</v>
      </c>
      <c r="D810" s="338" t="s">
        <v>134</v>
      </c>
      <c r="E810" s="338" t="s">
        <v>1083</v>
      </c>
      <c r="F810" s="338" t="s">
        <v>289</v>
      </c>
      <c r="G810" s="343">
        <f>G811</f>
        <v>756</v>
      </c>
      <c r="H810" s="343">
        <f>H811</f>
        <v>756</v>
      </c>
      <c r="I810" s="218"/>
    </row>
    <row r="811" spans="1:9" ht="15.75" x14ac:dyDescent="0.25">
      <c r="A811" s="31" t="s">
        <v>290</v>
      </c>
      <c r="B811" s="336">
        <v>907</v>
      </c>
      <c r="C811" s="338" t="s">
        <v>507</v>
      </c>
      <c r="D811" s="338" t="s">
        <v>134</v>
      </c>
      <c r="E811" s="338" t="s">
        <v>1083</v>
      </c>
      <c r="F811" s="338" t="s">
        <v>291</v>
      </c>
      <c r="G811" s="343">
        <f>756</f>
        <v>756</v>
      </c>
      <c r="H811" s="343">
        <f t="shared" si="62"/>
        <v>756</v>
      </c>
      <c r="I811" s="218"/>
    </row>
    <row r="812" spans="1:9" ht="47.25" x14ac:dyDescent="0.25">
      <c r="A812" s="340" t="s">
        <v>971</v>
      </c>
      <c r="B812" s="337">
        <v>907</v>
      </c>
      <c r="C812" s="341" t="s">
        <v>507</v>
      </c>
      <c r="D812" s="341" t="s">
        <v>134</v>
      </c>
      <c r="E812" s="341" t="s">
        <v>1084</v>
      </c>
      <c r="F812" s="341"/>
      <c r="G812" s="339">
        <f>G813</f>
        <v>813.5</v>
      </c>
      <c r="H812" s="339">
        <f>H813</f>
        <v>813.5</v>
      </c>
      <c r="I812" s="218"/>
    </row>
    <row r="813" spans="1:9" ht="94.5" x14ac:dyDescent="0.25">
      <c r="A813" s="31" t="s">
        <v>309</v>
      </c>
      <c r="B813" s="336">
        <v>907</v>
      </c>
      <c r="C813" s="338" t="s">
        <v>507</v>
      </c>
      <c r="D813" s="338" t="s">
        <v>134</v>
      </c>
      <c r="E813" s="338" t="s">
        <v>1521</v>
      </c>
      <c r="F813" s="338"/>
      <c r="G813" s="343">
        <f t="shared" ref="G813:H814" si="63">G814</f>
        <v>813.5</v>
      </c>
      <c r="H813" s="343">
        <f t="shared" si="63"/>
        <v>813.5</v>
      </c>
      <c r="I813" s="218"/>
    </row>
    <row r="814" spans="1:9" ht="31.5" x14ac:dyDescent="0.25">
      <c r="A814" s="342" t="s">
        <v>288</v>
      </c>
      <c r="B814" s="336">
        <v>907</v>
      </c>
      <c r="C814" s="338" t="s">
        <v>507</v>
      </c>
      <c r="D814" s="338" t="s">
        <v>134</v>
      </c>
      <c r="E814" s="338" t="s">
        <v>1521</v>
      </c>
      <c r="F814" s="338" t="s">
        <v>289</v>
      </c>
      <c r="G814" s="343">
        <f t="shared" si="63"/>
        <v>813.5</v>
      </c>
      <c r="H814" s="343">
        <f t="shared" si="63"/>
        <v>813.5</v>
      </c>
      <c r="I814" s="218"/>
    </row>
    <row r="815" spans="1:9" ht="15.75" x14ac:dyDescent="0.25">
      <c r="A815" s="342" t="s">
        <v>290</v>
      </c>
      <c r="B815" s="336">
        <v>907</v>
      </c>
      <c r="C815" s="338" t="s">
        <v>507</v>
      </c>
      <c r="D815" s="338" t="s">
        <v>134</v>
      </c>
      <c r="E815" s="338" t="s">
        <v>1521</v>
      </c>
      <c r="F815" s="338" t="s">
        <v>291</v>
      </c>
      <c r="G815" s="343">
        <f>813.5</f>
        <v>813.5</v>
      </c>
      <c r="H815" s="343">
        <f t="shared" si="62"/>
        <v>813.5</v>
      </c>
      <c r="I815" s="277">
        <f>12177.1/11326*870.2</f>
        <v>935.59177291188428</v>
      </c>
    </row>
    <row r="816" spans="1:9" ht="63" x14ac:dyDescent="0.25">
      <c r="A816" s="41" t="s">
        <v>1425</v>
      </c>
      <c r="B816" s="337">
        <v>907</v>
      </c>
      <c r="C816" s="341" t="s">
        <v>507</v>
      </c>
      <c r="D816" s="341" t="s">
        <v>134</v>
      </c>
      <c r="E816" s="341" t="s">
        <v>728</v>
      </c>
      <c r="F816" s="235"/>
      <c r="G816" s="339">
        <f t="shared" ref="G816:H819" si="64">G817</f>
        <v>540.1</v>
      </c>
      <c r="H816" s="339">
        <f t="shared" si="64"/>
        <v>540.1</v>
      </c>
      <c r="I816" s="218"/>
    </row>
    <row r="817" spans="1:9" ht="47.25" x14ac:dyDescent="0.25">
      <c r="A817" s="41" t="s">
        <v>949</v>
      </c>
      <c r="B817" s="337">
        <v>907</v>
      </c>
      <c r="C817" s="341" t="s">
        <v>507</v>
      </c>
      <c r="D817" s="341" t="s">
        <v>134</v>
      </c>
      <c r="E817" s="341" t="s">
        <v>947</v>
      </c>
      <c r="F817" s="235"/>
      <c r="G817" s="339">
        <f t="shared" si="64"/>
        <v>540.1</v>
      </c>
      <c r="H817" s="339">
        <f t="shared" si="64"/>
        <v>540.1</v>
      </c>
      <c r="I817" s="218"/>
    </row>
    <row r="818" spans="1:9" ht="47.25" x14ac:dyDescent="0.25">
      <c r="A818" s="99" t="s">
        <v>803</v>
      </c>
      <c r="B818" s="336">
        <v>907</v>
      </c>
      <c r="C818" s="338" t="s">
        <v>507</v>
      </c>
      <c r="D818" s="338" t="s">
        <v>134</v>
      </c>
      <c r="E818" s="338" t="s">
        <v>1027</v>
      </c>
      <c r="F818" s="32"/>
      <c r="G818" s="343">
        <f t="shared" si="64"/>
        <v>540.1</v>
      </c>
      <c r="H818" s="343">
        <f t="shared" si="64"/>
        <v>540.1</v>
      </c>
      <c r="I818" s="218"/>
    </row>
    <row r="819" spans="1:9" ht="31.5" x14ac:dyDescent="0.25">
      <c r="A819" s="345" t="s">
        <v>288</v>
      </c>
      <c r="B819" s="336">
        <v>907</v>
      </c>
      <c r="C819" s="338" t="s">
        <v>507</v>
      </c>
      <c r="D819" s="338" t="s">
        <v>134</v>
      </c>
      <c r="E819" s="338" t="s">
        <v>1027</v>
      </c>
      <c r="F819" s="32" t="s">
        <v>289</v>
      </c>
      <c r="G819" s="343">
        <f t="shared" si="64"/>
        <v>540.1</v>
      </c>
      <c r="H819" s="343">
        <f t="shared" si="64"/>
        <v>540.1</v>
      </c>
      <c r="I819" s="218"/>
    </row>
    <row r="820" spans="1:9" ht="15.75" x14ac:dyDescent="0.25">
      <c r="A820" s="192" t="s">
        <v>290</v>
      </c>
      <c r="B820" s="336">
        <v>907</v>
      </c>
      <c r="C820" s="338" t="s">
        <v>507</v>
      </c>
      <c r="D820" s="338" t="s">
        <v>134</v>
      </c>
      <c r="E820" s="338" t="s">
        <v>1027</v>
      </c>
      <c r="F820" s="32" t="s">
        <v>291</v>
      </c>
      <c r="G820" s="343">
        <f>540.1</f>
        <v>540.1</v>
      </c>
      <c r="H820" s="343">
        <f t="shared" si="62"/>
        <v>540.1</v>
      </c>
      <c r="I820" s="218"/>
    </row>
    <row r="821" spans="1:9" ht="31.5" x14ac:dyDescent="0.25">
      <c r="A821" s="340" t="s">
        <v>516</v>
      </c>
      <c r="B821" s="337">
        <v>907</v>
      </c>
      <c r="C821" s="341" t="s">
        <v>507</v>
      </c>
      <c r="D821" s="341" t="s">
        <v>250</v>
      </c>
      <c r="E821" s="341"/>
      <c r="F821" s="341"/>
      <c r="G821" s="339">
        <f>G822+G830+G842</f>
        <v>11756</v>
      </c>
      <c r="H821" s="339">
        <f>H822+H830+H842</f>
        <v>11756</v>
      </c>
      <c r="I821" s="218"/>
    </row>
    <row r="822" spans="1:9" ht="31.5" x14ac:dyDescent="0.25">
      <c r="A822" s="340" t="s">
        <v>990</v>
      </c>
      <c r="B822" s="337">
        <v>907</v>
      </c>
      <c r="C822" s="341" t="s">
        <v>507</v>
      </c>
      <c r="D822" s="341" t="s">
        <v>250</v>
      </c>
      <c r="E822" s="341" t="s">
        <v>904</v>
      </c>
      <c r="F822" s="341"/>
      <c r="G822" s="339">
        <f>G823</f>
        <v>4531</v>
      </c>
      <c r="H822" s="339">
        <f>H823</f>
        <v>4531</v>
      </c>
      <c r="I822" s="218"/>
    </row>
    <row r="823" spans="1:9" ht="15.75" x14ac:dyDescent="0.25">
      <c r="A823" s="340" t="s">
        <v>991</v>
      </c>
      <c r="B823" s="337">
        <v>907</v>
      </c>
      <c r="C823" s="341" t="s">
        <v>507</v>
      </c>
      <c r="D823" s="341" t="s">
        <v>250</v>
      </c>
      <c r="E823" s="341" t="s">
        <v>905</v>
      </c>
      <c r="F823" s="341"/>
      <c r="G823" s="339">
        <f>G824+G827</f>
        <v>4531</v>
      </c>
      <c r="H823" s="339">
        <f>H824+H827</f>
        <v>4531</v>
      </c>
      <c r="I823" s="218"/>
    </row>
    <row r="824" spans="1:9" ht="31.5" x14ac:dyDescent="0.25">
      <c r="A824" s="342" t="s">
        <v>967</v>
      </c>
      <c r="B824" s="336">
        <v>907</v>
      </c>
      <c r="C824" s="338" t="s">
        <v>507</v>
      </c>
      <c r="D824" s="338" t="s">
        <v>250</v>
      </c>
      <c r="E824" s="338" t="s">
        <v>906</v>
      </c>
      <c r="F824" s="338"/>
      <c r="G824" s="343">
        <f>G825</f>
        <v>4447</v>
      </c>
      <c r="H824" s="343">
        <f>H825</f>
        <v>4447</v>
      </c>
      <c r="I824" s="218"/>
    </row>
    <row r="825" spans="1:9" ht="78.75" x14ac:dyDescent="0.25">
      <c r="A825" s="342" t="s">
        <v>143</v>
      </c>
      <c r="B825" s="336">
        <v>907</v>
      </c>
      <c r="C825" s="338" t="s">
        <v>507</v>
      </c>
      <c r="D825" s="338" t="s">
        <v>250</v>
      </c>
      <c r="E825" s="338" t="s">
        <v>906</v>
      </c>
      <c r="F825" s="338" t="s">
        <v>144</v>
      </c>
      <c r="G825" s="343">
        <f>G826</f>
        <v>4447</v>
      </c>
      <c r="H825" s="343">
        <f>H826</f>
        <v>4447</v>
      </c>
      <c r="I825" s="218"/>
    </row>
    <row r="826" spans="1:9" ht="31.5" x14ac:dyDescent="0.25">
      <c r="A826" s="342" t="s">
        <v>145</v>
      </c>
      <c r="B826" s="336">
        <v>907</v>
      </c>
      <c r="C826" s="338" t="s">
        <v>507</v>
      </c>
      <c r="D826" s="338" t="s">
        <v>250</v>
      </c>
      <c r="E826" s="338" t="s">
        <v>906</v>
      </c>
      <c r="F826" s="338" t="s">
        <v>146</v>
      </c>
      <c r="G826" s="343">
        <f>4447</f>
        <v>4447</v>
      </c>
      <c r="H826" s="343">
        <f t="shared" si="62"/>
        <v>4447</v>
      </c>
      <c r="I826" s="218"/>
    </row>
    <row r="827" spans="1:9" ht="47.25" x14ac:dyDescent="0.25">
      <c r="A827" s="342" t="s">
        <v>885</v>
      </c>
      <c r="B827" s="336">
        <v>907</v>
      </c>
      <c r="C827" s="338" t="s">
        <v>507</v>
      </c>
      <c r="D827" s="338" t="s">
        <v>250</v>
      </c>
      <c r="E827" s="338" t="s">
        <v>908</v>
      </c>
      <c r="F827" s="338"/>
      <c r="G827" s="343">
        <f>G828</f>
        <v>84</v>
      </c>
      <c r="H827" s="343">
        <f>H828</f>
        <v>84</v>
      </c>
      <c r="I827" s="218"/>
    </row>
    <row r="828" spans="1:9" ht="78.75" x14ac:dyDescent="0.25">
      <c r="A828" s="342" t="s">
        <v>143</v>
      </c>
      <c r="B828" s="336">
        <v>907</v>
      </c>
      <c r="C828" s="338" t="s">
        <v>507</v>
      </c>
      <c r="D828" s="338" t="s">
        <v>250</v>
      </c>
      <c r="E828" s="338" t="s">
        <v>908</v>
      </c>
      <c r="F828" s="338" t="s">
        <v>144</v>
      </c>
      <c r="G828" s="343">
        <f>G829</f>
        <v>84</v>
      </c>
      <c r="H828" s="343">
        <f>H829</f>
        <v>84</v>
      </c>
      <c r="I828" s="218"/>
    </row>
    <row r="829" spans="1:9" ht="31.5" x14ac:dyDescent="0.25">
      <c r="A829" s="342" t="s">
        <v>145</v>
      </c>
      <c r="B829" s="336">
        <v>907</v>
      </c>
      <c r="C829" s="338" t="s">
        <v>507</v>
      </c>
      <c r="D829" s="338" t="s">
        <v>250</v>
      </c>
      <c r="E829" s="338" t="s">
        <v>908</v>
      </c>
      <c r="F829" s="338" t="s">
        <v>146</v>
      </c>
      <c r="G829" s="343">
        <f>84</f>
        <v>84</v>
      </c>
      <c r="H829" s="343">
        <f t="shared" si="62"/>
        <v>84</v>
      </c>
      <c r="I829" s="218"/>
    </row>
    <row r="830" spans="1:9" ht="15.75" x14ac:dyDescent="0.25">
      <c r="A830" s="340" t="s">
        <v>157</v>
      </c>
      <c r="B830" s="337">
        <v>907</v>
      </c>
      <c r="C830" s="341" t="s">
        <v>507</v>
      </c>
      <c r="D830" s="341" t="s">
        <v>250</v>
      </c>
      <c r="E830" s="341" t="s">
        <v>912</v>
      </c>
      <c r="F830" s="341"/>
      <c r="G830" s="339">
        <f>G831</f>
        <v>5225</v>
      </c>
      <c r="H830" s="339">
        <f>H831</f>
        <v>5225</v>
      </c>
      <c r="I830" s="218"/>
    </row>
    <row r="831" spans="1:9" ht="31.5" x14ac:dyDescent="0.25">
      <c r="A831" s="340" t="s">
        <v>1002</v>
      </c>
      <c r="B831" s="337">
        <v>907</v>
      </c>
      <c r="C831" s="341" t="s">
        <v>507</v>
      </c>
      <c r="D831" s="341" t="s">
        <v>250</v>
      </c>
      <c r="E831" s="341" t="s">
        <v>987</v>
      </c>
      <c r="F831" s="341"/>
      <c r="G831" s="339">
        <f>G832+G839</f>
        <v>5225</v>
      </c>
      <c r="H831" s="339">
        <f>H832+H839</f>
        <v>5225</v>
      </c>
      <c r="I831" s="218"/>
    </row>
    <row r="832" spans="1:9" ht="31.5" x14ac:dyDescent="0.25">
      <c r="A832" s="342" t="s">
        <v>974</v>
      </c>
      <c r="B832" s="336">
        <v>907</v>
      </c>
      <c r="C832" s="338" t="s">
        <v>507</v>
      </c>
      <c r="D832" s="338" t="s">
        <v>250</v>
      </c>
      <c r="E832" s="338" t="s">
        <v>988</v>
      </c>
      <c r="F832" s="338"/>
      <c r="G832" s="343">
        <f>G833+G835+G837</f>
        <v>5015</v>
      </c>
      <c r="H832" s="343">
        <f>H833+H835+H837</f>
        <v>5015</v>
      </c>
      <c r="I832" s="218"/>
    </row>
    <row r="833" spans="1:9" ht="78.75" x14ac:dyDescent="0.25">
      <c r="A833" s="342" t="s">
        <v>143</v>
      </c>
      <c r="B833" s="336">
        <v>907</v>
      </c>
      <c r="C833" s="338" t="s">
        <v>507</v>
      </c>
      <c r="D833" s="338" t="s">
        <v>250</v>
      </c>
      <c r="E833" s="338" t="s">
        <v>988</v>
      </c>
      <c r="F833" s="338" t="s">
        <v>144</v>
      </c>
      <c r="G833" s="343">
        <f>G834</f>
        <v>4454</v>
      </c>
      <c r="H833" s="343">
        <f>H834</f>
        <v>4454</v>
      </c>
      <c r="I833" s="218"/>
    </row>
    <row r="834" spans="1:9" ht="19.5" customHeight="1" x14ac:dyDescent="0.25">
      <c r="A834" s="342" t="s">
        <v>358</v>
      </c>
      <c r="B834" s="336">
        <v>907</v>
      </c>
      <c r="C834" s="338" t="s">
        <v>507</v>
      </c>
      <c r="D834" s="338" t="s">
        <v>250</v>
      </c>
      <c r="E834" s="338" t="s">
        <v>988</v>
      </c>
      <c r="F834" s="338" t="s">
        <v>225</v>
      </c>
      <c r="G834" s="343">
        <v>4454</v>
      </c>
      <c r="H834" s="343">
        <f t="shared" si="62"/>
        <v>4454</v>
      </c>
      <c r="I834" s="218"/>
    </row>
    <row r="835" spans="1:9" ht="31.5" x14ac:dyDescent="0.25">
      <c r="A835" s="342" t="s">
        <v>147</v>
      </c>
      <c r="B835" s="336">
        <v>907</v>
      </c>
      <c r="C835" s="338" t="s">
        <v>507</v>
      </c>
      <c r="D835" s="338" t="s">
        <v>250</v>
      </c>
      <c r="E835" s="338" t="s">
        <v>988</v>
      </c>
      <c r="F835" s="338" t="s">
        <v>148</v>
      </c>
      <c r="G835" s="343">
        <f>G836</f>
        <v>510</v>
      </c>
      <c r="H835" s="343">
        <f>H836</f>
        <v>510</v>
      </c>
      <c r="I835" s="218"/>
    </row>
    <row r="836" spans="1:9" ht="31.5" x14ac:dyDescent="0.25">
      <c r="A836" s="342" t="s">
        <v>149</v>
      </c>
      <c r="B836" s="336">
        <v>907</v>
      </c>
      <c r="C836" s="338" t="s">
        <v>507</v>
      </c>
      <c r="D836" s="338" t="s">
        <v>250</v>
      </c>
      <c r="E836" s="338" t="s">
        <v>988</v>
      </c>
      <c r="F836" s="338" t="s">
        <v>150</v>
      </c>
      <c r="G836" s="343">
        <f>510</f>
        <v>510</v>
      </c>
      <c r="H836" s="343">
        <f t="shared" si="62"/>
        <v>510</v>
      </c>
      <c r="I836" s="218"/>
    </row>
    <row r="837" spans="1:9" ht="15.75" x14ac:dyDescent="0.25">
      <c r="A837" s="342" t="s">
        <v>151</v>
      </c>
      <c r="B837" s="336">
        <v>907</v>
      </c>
      <c r="C837" s="338" t="s">
        <v>507</v>
      </c>
      <c r="D837" s="338" t="s">
        <v>250</v>
      </c>
      <c r="E837" s="338" t="s">
        <v>988</v>
      </c>
      <c r="F837" s="338" t="s">
        <v>161</v>
      </c>
      <c r="G837" s="343">
        <f>G838</f>
        <v>51</v>
      </c>
      <c r="H837" s="343">
        <f>H838</f>
        <v>51</v>
      </c>
      <c r="I837" s="218"/>
    </row>
    <row r="838" spans="1:9" ht="15.75" x14ac:dyDescent="0.25">
      <c r="A838" s="342" t="s">
        <v>584</v>
      </c>
      <c r="B838" s="336">
        <v>907</v>
      </c>
      <c r="C838" s="338" t="s">
        <v>507</v>
      </c>
      <c r="D838" s="338" t="s">
        <v>250</v>
      </c>
      <c r="E838" s="338" t="s">
        <v>988</v>
      </c>
      <c r="F838" s="338" t="s">
        <v>154</v>
      </c>
      <c r="G838" s="343">
        <f>51</f>
        <v>51</v>
      </c>
      <c r="H838" s="343">
        <f t="shared" si="62"/>
        <v>51</v>
      </c>
      <c r="I838" s="218"/>
    </row>
    <row r="839" spans="1:9" ht="47.25" x14ac:dyDescent="0.25">
      <c r="A839" s="342" t="s">
        <v>885</v>
      </c>
      <c r="B839" s="336">
        <v>907</v>
      </c>
      <c r="C839" s="338" t="s">
        <v>507</v>
      </c>
      <c r="D839" s="338" t="s">
        <v>250</v>
      </c>
      <c r="E839" s="338" t="s">
        <v>989</v>
      </c>
      <c r="F839" s="338"/>
      <c r="G839" s="343">
        <f>G840</f>
        <v>210</v>
      </c>
      <c r="H839" s="343">
        <f>H840</f>
        <v>210</v>
      </c>
      <c r="I839" s="218"/>
    </row>
    <row r="840" spans="1:9" ht="78.75" x14ac:dyDescent="0.25">
      <c r="A840" s="342" t="s">
        <v>143</v>
      </c>
      <c r="B840" s="336">
        <v>907</v>
      </c>
      <c r="C840" s="338" t="s">
        <v>507</v>
      </c>
      <c r="D840" s="338" t="s">
        <v>250</v>
      </c>
      <c r="E840" s="338" t="s">
        <v>989</v>
      </c>
      <c r="F840" s="338" t="s">
        <v>144</v>
      </c>
      <c r="G840" s="343">
        <f>G841</f>
        <v>210</v>
      </c>
      <c r="H840" s="343">
        <f>H841</f>
        <v>210</v>
      </c>
      <c r="I840" s="218"/>
    </row>
    <row r="841" spans="1:9" ht="19.5" customHeight="1" x14ac:dyDescent="0.25">
      <c r="A841" s="342" t="s">
        <v>358</v>
      </c>
      <c r="B841" s="336">
        <v>907</v>
      </c>
      <c r="C841" s="338" t="s">
        <v>507</v>
      </c>
      <c r="D841" s="338" t="s">
        <v>250</v>
      </c>
      <c r="E841" s="338" t="s">
        <v>989</v>
      </c>
      <c r="F841" s="338" t="s">
        <v>225</v>
      </c>
      <c r="G841" s="343">
        <f>210</f>
        <v>210</v>
      </c>
      <c r="H841" s="343">
        <f t="shared" si="62"/>
        <v>210</v>
      </c>
      <c r="I841" s="218"/>
    </row>
    <row r="842" spans="1:9" ht="47.25" x14ac:dyDescent="0.25">
      <c r="A842" s="41" t="s">
        <v>1433</v>
      </c>
      <c r="B842" s="337">
        <v>907</v>
      </c>
      <c r="C842" s="341" t="s">
        <v>507</v>
      </c>
      <c r="D842" s="341" t="s">
        <v>250</v>
      </c>
      <c r="E842" s="334" t="s">
        <v>498</v>
      </c>
      <c r="F842" s="341"/>
      <c r="G842" s="339">
        <f t="shared" ref="G842:H844" si="65">G843</f>
        <v>2000</v>
      </c>
      <c r="H842" s="339">
        <f t="shared" si="65"/>
        <v>2000</v>
      </c>
      <c r="I842" s="218"/>
    </row>
    <row r="843" spans="1:9" ht="47.25" x14ac:dyDescent="0.25">
      <c r="A843" s="58" t="s">
        <v>1434</v>
      </c>
      <c r="B843" s="337">
        <v>907</v>
      </c>
      <c r="C843" s="341" t="s">
        <v>507</v>
      </c>
      <c r="D843" s="341" t="s">
        <v>250</v>
      </c>
      <c r="E843" s="334" t="s">
        <v>518</v>
      </c>
      <c r="F843" s="341"/>
      <c r="G843" s="339">
        <f t="shared" si="65"/>
        <v>2000</v>
      </c>
      <c r="H843" s="339">
        <f t="shared" si="65"/>
        <v>2000</v>
      </c>
      <c r="I843" s="218"/>
    </row>
    <row r="844" spans="1:9" ht="31.5" x14ac:dyDescent="0.25">
      <c r="A844" s="58" t="s">
        <v>1086</v>
      </c>
      <c r="B844" s="337">
        <v>907</v>
      </c>
      <c r="C844" s="341" t="s">
        <v>507</v>
      </c>
      <c r="D844" s="341" t="s">
        <v>250</v>
      </c>
      <c r="E844" s="334" t="s">
        <v>1087</v>
      </c>
      <c r="F844" s="341"/>
      <c r="G844" s="339">
        <f t="shared" si="65"/>
        <v>2000</v>
      </c>
      <c r="H844" s="339">
        <f t="shared" si="65"/>
        <v>2000</v>
      </c>
      <c r="I844" s="218"/>
    </row>
    <row r="845" spans="1:9" ht="15.75" x14ac:dyDescent="0.25">
      <c r="A845" s="345" t="s">
        <v>1088</v>
      </c>
      <c r="B845" s="336">
        <v>907</v>
      </c>
      <c r="C845" s="338" t="s">
        <v>507</v>
      </c>
      <c r="D845" s="338" t="s">
        <v>250</v>
      </c>
      <c r="E845" s="346" t="s">
        <v>1236</v>
      </c>
      <c r="F845" s="338"/>
      <c r="G845" s="343">
        <f>G846+G848</f>
        <v>2000</v>
      </c>
      <c r="H845" s="343">
        <f>H846+H848</f>
        <v>2000</v>
      </c>
      <c r="I845" s="218"/>
    </row>
    <row r="846" spans="1:9" ht="78.75" x14ac:dyDescent="0.25">
      <c r="A846" s="342" t="s">
        <v>143</v>
      </c>
      <c r="B846" s="336">
        <v>907</v>
      </c>
      <c r="C846" s="338" t="s">
        <v>507</v>
      </c>
      <c r="D846" s="338" t="s">
        <v>250</v>
      </c>
      <c r="E846" s="346" t="s">
        <v>1236</v>
      </c>
      <c r="F846" s="338" t="s">
        <v>144</v>
      </c>
      <c r="G846" s="343">
        <f>G847</f>
        <v>1500</v>
      </c>
      <c r="H846" s="343">
        <f>H847</f>
        <v>1500</v>
      </c>
      <c r="I846" s="218"/>
    </row>
    <row r="847" spans="1:9" ht="31.5" x14ac:dyDescent="0.25">
      <c r="A847" s="342" t="s">
        <v>358</v>
      </c>
      <c r="B847" s="336">
        <v>907</v>
      </c>
      <c r="C847" s="338" t="s">
        <v>507</v>
      </c>
      <c r="D847" s="338" t="s">
        <v>250</v>
      </c>
      <c r="E847" s="346" t="s">
        <v>1236</v>
      </c>
      <c r="F847" s="338" t="s">
        <v>225</v>
      </c>
      <c r="G847" s="343">
        <f>1500</f>
        <v>1500</v>
      </c>
      <c r="H847" s="343">
        <f t="shared" si="62"/>
        <v>1500</v>
      </c>
      <c r="I847" s="218"/>
    </row>
    <row r="848" spans="1:9" ht="31.5" x14ac:dyDescent="0.25">
      <c r="A848" s="345" t="s">
        <v>147</v>
      </c>
      <c r="B848" s="336">
        <v>907</v>
      </c>
      <c r="C848" s="338" t="s">
        <v>507</v>
      </c>
      <c r="D848" s="338" t="s">
        <v>250</v>
      </c>
      <c r="E848" s="346" t="s">
        <v>1236</v>
      </c>
      <c r="F848" s="338" t="s">
        <v>148</v>
      </c>
      <c r="G848" s="343">
        <f>G849</f>
        <v>500</v>
      </c>
      <c r="H848" s="343">
        <f>H849</f>
        <v>500</v>
      </c>
      <c r="I848" s="218"/>
    </row>
    <row r="849" spans="1:9" ht="31.5" x14ac:dyDescent="0.25">
      <c r="A849" s="345" t="s">
        <v>149</v>
      </c>
      <c r="B849" s="336">
        <v>907</v>
      </c>
      <c r="C849" s="338" t="s">
        <v>507</v>
      </c>
      <c r="D849" s="338" t="s">
        <v>250</v>
      </c>
      <c r="E849" s="346" t="s">
        <v>1236</v>
      </c>
      <c r="F849" s="338" t="s">
        <v>150</v>
      </c>
      <c r="G849" s="343">
        <f>500</f>
        <v>500</v>
      </c>
      <c r="H849" s="343">
        <f t="shared" si="62"/>
        <v>500</v>
      </c>
      <c r="I849" s="218"/>
    </row>
    <row r="850" spans="1:9" ht="31.5" x14ac:dyDescent="0.25">
      <c r="A850" s="337" t="s">
        <v>520</v>
      </c>
      <c r="B850" s="337">
        <v>908</v>
      </c>
      <c r="C850" s="338"/>
      <c r="D850" s="338"/>
      <c r="E850" s="338"/>
      <c r="F850" s="338"/>
      <c r="G850" s="339">
        <f>G865+G872+G891+G1054+G851</f>
        <v>82450.5</v>
      </c>
      <c r="H850" s="339">
        <f>H865+H872+H891+H1054+H851</f>
        <v>88689.9</v>
      </c>
      <c r="I850" s="218"/>
    </row>
    <row r="851" spans="1:9" ht="15.75" x14ac:dyDescent="0.25">
      <c r="A851" s="34" t="s">
        <v>133</v>
      </c>
      <c r="B851" s="337">
        <v>908</v>
      </c>
      <c r="C851" s="341" t="s">
        <v>134</v>
      </c>
      <c r="D851" s="338"/>
      <c r="E851" s="338"/>
      <c r="F851" s="338"/>
      <c r="G851" s="339">
        <f>G852</f>
        <v>38273</v>
      </c>
      <c r="H851" s="339">
        <f t="shared" ref="G851:H853" si="66">H852</f>
        <v>38273</v>
      </c>
      <c r="I851" s="218"/>
    </row>
    <row r="852" spans="1:9" ht="15.75" x14ac:dyDescent="0.25">
      <c r="A852" s="34" t="s">
        <v>155</v>
      </c>
      <c r="B852" s="337">
        <v>908</v>
      </c>
      <c r="C852" s="341" t="s">
        <v>134</v>
      </c>
      <c r="D852" s="341" t="s">
        <v>156</v>
      </c>
      <c r="E852" s="338"/>
      <c r="F852" s="338"/>
      <c r="G852" s="339">
        <f t="shared" si="66"/>
        <v>38273</v>
      </c>
      <c r="H852" s="339">
        <f t="shared" si="66"/>
        <v>38273</v>
      </c>
      <c r="I852" s="218"/>
    </row>
    <row r="853" spans="1:9" ht="15.75" x14ac:dyDescent="0.25">
      <c r="A853" s="340" t="s">
        <v>157</v>
      </c>
      <c r="B853" s="337">
        <v>908</v>
      </c>
      <c r="C853" s="341" t="s">
        <v>134</v>
      </c>
      <c r="D853" s="341" t="s">
        <v>156</v>
      </c>
      <c r="E853" s="341" t="s">
        <v>912</v>
      </c>
      <c r="F853" s="341"/>
      <c r="G853" s="44">
        <f t="shared" si="66"/>
        <v>38273</v>
      </c>
      <c r="H853" s="44">
        <f t="shared" si="66"/>
        <v>38273</v>
      </c>
      <c r="I853" s="218"/>
    </row>
    <row r="854" spans="1:9" ht="15.75" x14ac:dyDescent="0.25">
      <c r="A854" s="340" t="s">
        <v>1090</v>
      </c>
      <c r="B854" s="337">
        <v>908</v>
      </c>
      <c r="C854" s="341" t="s">
        <v>134</v>
      </c>
      <c r="D854" s="341" t="s">
        <v>156</v>
      </c>
      <c r="E854" s="341" t="s">
        <v>1089</v>
      </c>
      <c r="F854" s="341"/>
      <c r="G854" s="44">
        <f>G858+G855</f>
        <v>38273</v>
      </c>
      <c r="H854" s="44">
        <f>H858+H855</f>
        <v>38273</v>
      </c>
      <c r="I854" s="218"/>
    </row>
    <row r="855" spans="1:9" ht="47.25" x14ac:dyDescent="0.25">
      <c r="A855" s="342" t="s">
        <v>885</v>
      </c>
      <c r="B855" s="336">
        <v>908</v>
      </c>
      <c r="C855" s="338" t="s">
        <v>134</v>
      </c>
      <c r="D855" s="338" t="s">
        <v>156</v>
      </c>
      <c r="E855" s="338" t="s">
        <v>1092</v>
      </c>
      <c r="F855" s="338"/>
      <c r="G855" s="343">
        <f>G856</f>
        <v>672</v>
      </c>
      <c r="H855" s="343">
        <f>H856</f>
        <v>672</v>
      </c>
      <c r="I855" s="218"/>
    </row>
    <row r="856" spans="1:9" ht="78.75" x14ac:dyDescent="0.25">
      <c r="A856" s="342" t="s">
        <v>143</v>
      </c>
      <c r="B856" s="336">
        <v>908</v>
      </c>
      <c r="C856" s="338" t="s">
        <v>134</v>
      </c>
      <c r="D856" s="338" t="s">
        <v>156</v>
      </c>
      <c r="E856" s="338" t="s">
        <v>1092</v>
      </c>
      <c r="F856" s="338" t="s">
        <v>144</v>
      </c>
      <c r="G856" s="343">
        <f>G857</f>
        <v>672</v>
      </c>
      <c r="H856" s="343">
        <f>H857</f>
        <v>672</v>
      </c>
      <c r="I856" s="218"/>
    </row>
    <row r="857" spans="1:9" ht="31.5" x14ac:dyDescent="0.25">
      <c r="A857" s="342" t="s">
        <v>145</v>
      </c>
      <c r="B857" s="336">
        <v>908</v>
      </c>
      <c r="C857" s="338" t="s">
        <v>134</v>
      </c>
      <c r="D857" s="338" t="s">
        <v>156</v>
      </c>
      <c r="E857" s="338" t="s">
        <v>1092</v>
      </c>
      <c r="F857" s="338" t="s">
        <v>225</v>
      </c>
      <c r="G857" s="343">
        <f>672</f>
        <v>672</v>
      </c>
      <c r="H857" s="343">
        <f t="shared" ref="H857:H918" si="67">G857</f>
        <v>672</v>
      </c>
      <c r="I857" s="218"/>
    </row>
    <row r="858" spans="1:9" ht="15.75" x14ac:dyDescent="0.25">
      <c r="A858" s="342" t="s">
        <v>834</v>
      </c>
      <c r="B858" s="336">
        <v>908</v>
      </c>
      <c r="C858" s="338" t="s">
        <v>134</v>
      </c>
      <c r="D858" s="338" t="s">
        <v>156</v>
      </c>
      <c r="E858" s="338" t="s">
        <v>1091</v>
      </c>
      <c r="F858" s="338"/>
      <c r="G858" s="343">
        <f>G859+G863+G861</f>
        <v>37601</v>
      </c>
      <c r="H858" s="343">
        <f>H859+H863+H861</f>
        <v>37601</v>
      </c>
      <c r="I858" s="218"/>
    </row>
    <row r="859" spans="1:9" ht="78.75" x14ac:dyDescent="0.25">
      <c r="A859" s="342" t="s">
        <v>143</v>
      </c>
      <c r="B859" s="336">
        <v>908</v>
      </c>
      <c r="C859" s="338" t="s">
        <v>134</v>
      </c>
      <c r="D859" s="338" t="s">
        <v>156</v>
      </c>
      <c r="E859" s="338" t="s">
        <v>1091</v>
      </c>
      <c r="F859" s="338" t="s">
        <v>144</v>
      </c>
      <c r="G859" s="343">
        <f>G860</f>
        <v>30180</v>
      </c>
      <c r="H859" s="343">
        <f>H860</f>
        <v>30180</v>
      </c>
      <c r="I859" s="218"/>
    </row>
    <row r="860" spans="1:9" ht="31.5" x14ac:dyDescent="0.25">
      <c r="A860" s="46" t="s">
        <v>358</v>
      </c>
      <c r="B860" s="336">
        <v>908</v>
      </c>
      <c r="C860" s="338" t="s">
        <v>134</v>
      </c>
      <c r="D860" s="338" t="s">
        <v>156</v>
      </c>
      <c r="E860" s="338" t="s">
        <v>1091</v>
      </c>
      <c r="F860" s="338" t="s">
        <v>225</v>
      </c>
      <c r="G860" s="343">
        <f>30180</f>
        <v>30180</v>
      </c>
      <c r="H860" s="343">
        <f t="shared" si="67"/>
        <v>30180</v>
      </c>
      <c r="I860" s="218"/>
    </row>
    <row r="861" spans="1:9" ht="31.5" x14ac:dyDescent="0.25">
      <c r="A861" s="342" t="s">
        <v>147</v>
      </c>
      <c r="B861" s="336">
        <v>908</v>
      </c>
      <c r="C861" s="338" t="s">
        <v>134</v>
      </c>
      <c r="D861" s="338" t="s">
        <v>156</v>
      </c>
      <c r="E861" s="338" t="s">
        <v>1091</v>
      </c>
      <c r="F861" s="338" t="s">
        <v>148</v>
      </c>
      <c r="G861" s="343">
        <f>G862</f>
        <v>7000</v>
      </c>
      <c r="H861" s="343">
        <f>H862</f>
        <v>7000</v>
      </c>
      <c r="I861" s="218"/>
    </row>
    <row r="862" spans="1:9" ht="31.5" x14ac:dyDescent="0.25">
      <c r="A862" s="342" t="s">
        <v>149</v>
      </c>
      <c r="B862" s="336">
        <v>908</v>
      </c>
      <c r="C862" s="338" t="s">
        <v>134</v>
      </c>
      <c r="D862" s="338" t="s">
        <v>156</v>
      </c>
      <c r="E862" s="338" t="s">
        <v>1091</v>
      </c>
      <c r="F862" s="338" t="s">
        <v>150</v>
      </c>
      <c r="G862" s="343">
        <f>7000</f>
        <v>7000</v>
      </c>
      <c r="H862" s="343">
        <f t="shared" si="67"/>
        <v>7000</v>
      </c>
      <c r="I862" s="218"/>
    </row>
    <row r="863" spans="1:9" ht="15.75" x14ac:dyDescent="0.25">
      <c r="A863" s="342" t="s">
        <v>151</v>
      </c>
      <c r="B863" s="336">
        <v>908</v>
      </c>
      <c r="C863" s="338" t="s">
        <v>134</v>
      </c>
      <c r="D863" s="338" t="s">
        <v>156</v>
      </c>
      <c r="E863" s="338" t="s">
        <v>1091</v>
      </c>
      <c r="F863" s="338" t="s">
        <v>161</v>
      </c>
      <c r="G863" s="343">
        <f>G864</f>
        <v>421</v>
      </c>
      <c r="H863" s="343">
        <f>H864</f>
        <v>421</v>
      </c>
      <c r="I863" s="218"/>
    </row>
    <row r="864" spans="1:9" ht="15.75" x14ac:dyDescent="0.25">
      <c r="A864" s="342" t="s">
        <v>727</v>
      </c>
      <c r="B864" s="336">
        <v>908</v>
      </c>
      <c r="C864" s="338" t="s">
        <v>134</v>
      </c>
      <c r="D864" s="338" t="s">
        <v>156</v>
      </c>
      <c r="E864" s="338" t="s">
        <v>1091</v>
      </c>
      <c r="F864" s="338" t="s">
        <v>154</v>
      </c>
      <c r="G864" s="343">
        <f>421</f>
        <v>421</v>
      </c>
      <c r="H864" s="343">
        <f t="shared" si="67"/>
        <v>421</v>
      </c>
      <c r="I864" s="218"/>
    </row>
    <row r="865" spans="1:9" ht="31.5" x14ac:dyDescent="0.25">
      <c r="A865" s="340" t="s">
        <v>238</v>
      </c>
      <c r="B865" s="337">
        <v>908</v>
      </c>
      <c r="C865" s="341" t="s">
        <v>231</v>
      </c>
      <c r="D865" s="341"/>
      <c r="E865" s="341"/>
      <c r="F865" s="341"/>
      <c r="G865" s="339">
        <f t="shared" ref="G865:H868" si="68">G866</f>
        <v>107</v>
      </c>
      <c r="H865" s="339">
        <f t="shared" si="68"/>
        <v>107</v>
      </c>
      <c r="I865" s="218"/>
    </row>
    <row r="866" spans="1:9" ht="47.25" x14ac:dyDescent="0.25">
      <c r="A866" s="340" t="s">
        <v>239</v>
      </c>
      <c r="B866" s="337">
        <v>908</v>
      </c>
      <c r="C866" s="341" t="s">
        <v>231</v>
      </c>
      <c r="D866" s="341" t="s">
        <v>235</v>
      </c>
      <c r="E866" s="341"/>
      <c r="F866" s="341"/>
      <c r="G866" s="339">
        <f t="shared" si="68"/>
        <v>107</v>
      </c>
      <c r="H866" s="339">
        <f t="shared" si="68"/>
        <v>107</v>
      </c>
      <c r="I866" s="218"/>
    </row>
    <row r="867" spans="1:9" ht="15.75" x14ac:dyDescent="0.25">
      <c r="A867" s="340" t="s">
        <v>157</v>
      </c>
      <c r="B867" s="337">
        <v>908</v>
      </c>
      <c r="C867" s="341" t="s">
        <v>231</v>
      </c>
      <c r="D867" s="341" t="s">
        <v>235</v>
      </c>
      <c r="E867" s="341" t="s">
        <v>912</v>
      </c>
      <c r="F867" s="341"/>
      <c r="G867" s="339">
        <f t="shared" si="68"/>
        <v>107</v>
      </c>
      <c r="H867" s="339">
        <f t="shared" si="68"/>
        <v>107</v>
      </c>
      <c r="I867" s="218"/>
    </row>
    <row r="868" spans="1:9" ht="31.5" x14ac:dyDescent="0.25">
      <c r="A868" s="340" t="s">
        <v>916</v>
      </c>
      <c r="B868" s="337">
        <v>908</v>
      </c>
      <c r="C868" s="341" t="s">
        <v>231</v>
      </c>
      <c r="D868" s="341" t="s">
        <v>235</v>
      </c>
      <c r="E868" s="341" t="s">
        <v>911</v>
      </c>
      <c r="F868" s="341"/>
      <c r="G868" s="339">
        <f t="shared" si="68"/>
        <v>107</v>
      </c>
      <c r="H868" s="339">
        <f t="shared" si="68"/>
        <v>107</v>
      </c>
      <c r="I868" s="218"/>
    </row>
    <row r="869" spans="1:9" ht="15.75" x14ac:dyDescent="0.25">
      <c r="A869" s="342" t="s">
        <v>246</v>
      </c>
      <c r="B869" s="336">
        <v>908</v>
      </c>
      <c r="C869" s="338" t="s">
        <v>231</v>
      </c>
      <c r="D869" s="338" t="s">
        <v>235</v>
      </c>
      <c r="E869" s="338" t="s">
        <v>922</v>
      </c>
      <c r="F869" s="338"/>
      <c r="G869" s="343">
        <f>G870</f>
        <v>107</v>
      </c>
      <c r="H869" s="343">
        <f>H870</f>
        <v>107</v>
      </c>
      <c r="I869" s="218"/>
    </row>
    <row r="870" spans="1:9" ht="31.5" x14ac:dyDescent="0.25">
      <c r="A870" s="342" t="s">
        <v>147</v>
      </c>
      <c r="B870" s="336">
        <v>908</v>
      </c>
      <c r="C870" s="338" t="s">
        <v>231</v>
      </c>
      <c r="D870" s="338" t="s">
        <v>235</v>
      </c>
      <c r="E870" s="338" t="s">
        <v>922</v>
      </c>
      <c r="F870" s="338" t="s">
        <v>148</v>
      </c>
      <c r="G870" s="343">
        <f>G871</f>
        <v>107</v>
      </c>
      <c r="H870" s="343">
        <f>H871</f>
        <v>107</v>
      </c>
      <c r="I870" s="218"/>
    </row>
    <row r="871" spans="1:9" ht="31.5" x14ac:dyDescent="0.25">
      <c r="A871" s="342" t="s">
        <v>149</v>
      </c>
      <c r="B871" s="336">
        <v>908</v>
      </c>
      <c r="C871" s="338" t="s">
        <v>231</v>
      </c>
      <c r="D871" s="338" t="s">
        <v>235</v>
      </c>
      <c r="E871" s="338" t="s">
        <v>922</v>
      </c>
      <c r="F871" s="338" t="s">
        <v>150</v>
      </c>
      <c r="G871" s="343">
        <f>107</f>
        <v>107</v>
      </c>
      <c r="H871" s="343">
        <f t="shared" si="67"/>
        <v>107</v>
      </c>
      <c r="I871" s="218"/>
    </row>
    <row r="872" spans="1:9" ht="15.75" x14ac:dyDescent="0.25">
      <c r="A872" s="340" t="s">
        <v>248</v>
      </c>
      <c r="B872" s="337">
        <v>908</v>
      </c>
      <c r="C872" s="341" t="s">
        <v>166</v>
      </c>
      <c r="D872" s="341"/>
      <c r="E872" s="341"/>
      <c r="F872" s="341"/>
      <c r="G872" s="339">
        <f>G873+G879</f>
        <v>6447</v>
      </c>
      <c r="H872" s="339">
        <f>H873+H879</f>
        <v>6536</v>
      </c>
      <c r="I872" s="218"/>
    </row>
    <row r="873" spans="1:9" ht="15.75" x14ac:dyDescent="0.25">
      <c r="A873" s="340" t="s">
        <v>521</v>
      </c>
      <c r="B873" s="337">
        <v>908</v>
      </c>
      <c r="C873" s="341" t="s">
        <v>166</v>
      </c>
      <c r="D873" s="341" t="s">
        <v>315</v>
      </c>
      <c r="E873" s="341"/>
      <c r="F873" s="341"/>
      <c r="G873" s="339">
        <f t="shared" ref="G873:H875" si="69">G874</f>
        <v>3258</v>
      </c>
      <c r="H873" s="339">
        <f t="shared" si="69"/>
        <v>3258</v>
      </c>
      <c r="I873" s="218"/>
    </row>
    <row r="874" spans="1:9" ht="15.75" x14ac:dyDescent="0.25">
      <c r="A874" s="340" t="s">
        <v>157</v>
      </c>
      <c r="B874" s="337">
        <v>908</v>
      </c>
      <c r="C874" s="341" t="s">
        <v>166</v>
      </c>
      <c r="D874" s="341" t="s">
        <v>315</v>
      </c>
      <c r="E874" s="341" t="s">
        <v>912</v>
      </c>
      <c r="F874" s="341"/>
      <c r="G874" s="339">
        <f t="shared" si="69"/>
        <v>3258</v>
      </c>
      <c r="H874" s="339">
        <f t="shared" si="69"/>
        <v>3258</v>
      </c>
      <c r="I874" s="218"/>
    </row>
    <row r="875" spans="1:9" ht="31.5" x14ac:dyDescent="0.25">
      <c r="A875" s="340" t="s">
        <v>916</v>
      </c>
      <c r="B875" s="337">
        <v>908</v>
      </c>
      <c r="C875" s="341" t="s">
        <v>166</v>
      </c>
      <c r="D875" s="341" t="s">
        <v>315</v>
      </c>
      <c r="E875" s="341" t="s">
        <v>911</v>
      </c>
      <c r="F875" s="341"/>
      <c r="G875" s="339">
        <f t="shared" si="69"/>
        <v>3258</v>
      </c>
      <c r="H875" s="339">
        <f t="shared" si="69"/>
        <v>3258</v>
      </c>
      <c r="I875" s="218"/>
    </row>
    <row r="876" spans="1:9" ht="15.75" x14ac:dyDescent="0.25">
      <c r="A876" s="342" t="s">
        <v>522</v>
      </c>
      <c r="B876" s="336">
        <v>908</v>
      </c>
      <c r="C876" s="338" t="s">
        <v>166</v>
      </c>
      <c r="D876" s="338" t="s">
        <v>315</v>
      </c>
      <c r="E876" s="338" t="s">
        <v>1093</v>
      </c>
      <c r="F876" s="338"/>
      <c r="G876" s="343">
        <f>G877</f>
        <v>3258</v>
      </c>
      <c r="H876" s="343">
        <f>H877</f>
        <v>3258</v>
      </c>
      <c r="I876" s="218"/>
    </row>
    <row r="877" spans="1:9" ht="31.5" x14ac:dyDescent="0.25">
      <c r="A877" s="342" t="s">
        <v>147</v>
      </c>
      <c r="B877" s="336">
        <v>908</v>
      </c>
      <c r="C877" s="338" t="s">
        <v>166</v>
      </c>
      <c r="D877" s="338" t="s">
        <v>315</v>
      </c>
      <c r="E877" s="338" t="s">
        <v>1093</v>
      </c>
      <c r="F877" s="338" t="s">
        <v>148</v>
      </c>
      <c r="G877" s="343">
        <f>G878</f>
        <v>3258</v>
      </c>
      <c r="H877" s="343">
        <f>H878</f>
        <v>3258</v>
      </c>
      <c r="I877" s="218"/>
    </row>
    <row r="878" spans="1:9" ht="31.5" x14ac:dyDescent="0.25">
      <c r="A878" s="342" t="s">
        <v>149</v>
      </c>
      <c r="B878" s="336">
        <v>908</v>
      </c>
      <c r="C878" s="338" t="s">
        <v>166</v>
      </c>
      <c r="D878" s="338" t="s">
        <v>315</v>
      </c>
      <c r="E878" s="338" t="s">
        <v>1093</v>
      </c>
      <c r="F878" s="338" t="s">
        <v>150</v>
      </c>
      <c r="G878" s="343">
        <f>3258</f>
        <v>3258</v>
      </c>
      <c r="H878" s="343">
        <f t="shared" si="67"/>
        <v>3258</v>
      </c>
      <c r="I878" s="218"/>
    </row>
    <row r="879" spans="1:9" ht="15.75" x14ac:dyDescent="0.25">
      <c r="A879" s="340" t="s">
        <v>524</v>
      </c>
      <c r="B879" s="337">
        <v>908</v>
      </c>
      <c r="C879" s="341" t="s">
        <v>166</v>
      </c>
      <c r="D879" s="341" t="s">
        <v>235</v>
      </c>
      <c r="E879" s="338"/>
      <c r="F879" s="341"/>
      <c r="G879" s="339">
        <f>G880</f>
        <v>3189</v>
      </c>
      <c r="H879" s="339">
        <f>H880</f>
        <v>3278</v>
      </c>
      <c r="I879" s="218"/>
    </row>
    <row r="880" spans="1:9" ht="47.25" x14ac:dyDescent="0.25">
      <c r="A880" s="34" t="s">
        <v>1435</v>
      </c>
      <c r="B880" s="337">
        <v>908</v>
      </c>
      <c r="C880" s="341" t="s">
        <v>166</v>
      </c>
      <c r="D880" s="341" t="s">
        <v>235</v>
      </c>
      <c r="E880" s="341" t="s">
        <v>526</v>
      </c>
      <c r="F880" s="341"/>
      <c r="G880" s="339">
        <f>G886+G881</f>
        <v>3189</v>
      </c>
      <c r="H880" s="339">
        <f>H886+H881</f>
        <v>3278</v>
      </c>
      <c r="I880" s="218"/>
    </row>
    <row r="881" spans="1:9" ht="31.5" hidden="1" x14ac:dyDescent="0.25">
      <c r="A881" s="34" t="s">
        <v>1150</v>
      </c>
      <c r="B881" s="337">
        <v>908</v>
      </c>
      <c r="C881" s="341" t="s">
        <v>166</v>
      </c>
      <c r="D881" s="341" t="s">
        <v>235</v>
      </c>
      <c r="E881" s="334" t="s">
        <v>1094</v>
      </c>
      <c r="F881" s="341"/>
      <c r="G881" s="339">
        <f>G882</f>
        <v>0</v>
      </c>
      <c r="H881" s="339">
        <f>H882</f>
        <v>0</v>
      </c>
      <c r="I881" s="218"/>
    </row>
    <row r="882" spans="1:9" ht="15.75" hidden="1" x14ac:dyDescent="0.25">
      <c r="A882" s="345" t="s">
        <v>1152</v>
      </c>
      <c r="B882" s="336">
        <v>908</v>
      </c>
      <c r="C882" s="338" t="s">
        <v>166</v>
      </c>
      <c r="D882" s="338" t="s">
        <v>235</v>
      </c>
      <c r="E882" s="346" t="s">
        <v>1151</v>
      </c>
      <c r="F882" s="338"/>
      <c r="G882" s="343">
        <f>'Пр.4 ведом.20'!G921</f>
        <v>0</v>
      </c>
      <c r="H882" s="343">
        <f t="shared" si="67"/>
        <v>0</v>
      </c>
      <c r="I882" s="218"/>
    </row>
    <row r="883" spans="1:9" ht="31.5" hidden="1" x14ac:dyDescent="0.25">
      <c r="A883" s="342" t="s">
        <v>147</v>
      </c>
      <c r="B883" s="336">
        <v>908</v>
      </c>
      <c r="C883" s="338" t="s">
        <v>166</v>
      </c>
      <c r="D883" s="338" t="s">
        <v>235</v>
      </c>
      <c r="E883" s="346" t="s">
        <v>1151</v>
      </c>
      <c r="F883" s="338" t="s">
        <v>148</v>
      </c>
      <c r="G883" s="343">
        <f>'Пр.4 ведом.20'!G922</f>
        <v>0</v>
      </c>
      <c r="H883" s="343">
        <f t="shared" si="67"/>
        <v>0</v>
      </c>
      <c r="I883" s="218"/>
    </row>
    <row r="884" spans="1:9" ht="31.5" hidden="1" x14ac:dyDescent="0.25">
      <c r="A884" s="342" t="s">
        <v>149</v>
      </c>
      <c r="B884" s="336">
        <v>908</v>
      </c>
      <c r="C884" s="338" t="s">
        <v>166</v>
      </c>
      <c r="D884" s="338" t="s">
        <v>235</v>
      </c>
      <c r="E884" s="346" t="s">
        <v>1151</v>
      </c>
      <c r="F884" s="338" t="s">
        <v>150</v>
      </c>
      <c r="G884" s="343">
        <f>'Пр.4 ведом.20'!G923</f>
        <v>0</v>
      </c>
      <c r="H884" s="343">
        <f t="shared" si="67"/>
        <v>0</v>
      </c>
      <c r="I884" s="218"/>
    </row>
    <row r="885" spans="1:9" ht="31.5" x14ac:dyDescent="0.25">
      <c r="A885" s="34" t="s">
        <v>1237</v>
      </c>
      <c r="B885" s="337">
        <v>908</v>
      </c>
      <c r="C885" s="341" t="s">
        <v>166</v>
      </c>
      <c r="D885" s="341" t="s">
        <v>235</v>
      </c>
      <c r="E885" s="341" t="s">
        <v>1095</v>
      </c>
      <c r="F885" s="341"/>
      <c r="G885" s="339">
        <f t="shared" ref="G885:H887" si="70">G886</f>
        <v>3189</v>
      </c>
      <c r="H885" s="339">
        <f t="shared" si="70"/>
        <v>3278</v>
      </c>
      <c r="I885" s="218"/>
    </row>
    <row r="886" spans="1:9" ht="15.75" x14ac:dyDescent="0.25">
      <c r="A886" s="345" t="s">
        <v>527</v>
      </c>
      <c r="B886" s="336">
        <v>908</v>
      </c>
      <c r="C886" s="338" t="s">
        <v>166</v>
      </c>
      <c r="D886" s="338" t="s">
        <v>235</v>
      </c>
      <c r="E886" s="346" t="s">
        <v>1153</v>
      </c>
      <c r="F886" s="338"/>
      <c r="G886" s="343">
        <f t="shared" si="70"/>
        <v>3189</v>
      </c>
      <c r="H886" s="343">
        <f t="shared" si="70"/>
        <v>3278</v>
      </c>
      <c r="I886" s="218"/>
    </row>
    <row r="887" spans="1:9" ht="31.5" x14ac:dyDescent="0.25">
      <c r="A887" s="342" t="s">
        <v>147</v>
      </c>
      <c r="B887" s="336">
        <v>908</v>
      </c>
      <c r="C887" s="338" t="s">
        <v>166</v>
      </c>
      <c r="D887" s="338" t="s">
        <v>235</v>
      </c>
      <c r="E887" s="346" t="s">
        <v>1153</v>
      </c>
      <c r="F887" s="338" t="s">
        <v>148</v>
      </c>
      <c r="G887" s="343">
        <f t="shared" si="70"/>
        <v>3189</v>
      </c>
      <c r="H887" s="343">
        <f t="shared" si="70"/>
        <v>3278</v>
      </c>
      <c r="I887" s="218"/>
    </row>
    <row r="888" spans="1:9" ht="31.5" x14ac:dyDescent="0.25">
      <c r="A888" s="342" t="s">
        <v>149</v>
      </c>
      <c r="B888" s="336">
        <v>908</v>
      </c>
      <c r="C888" s="338" t="s">
        <v>166</v>
      </c>
      <c r="D888" s="338" t="s">
        <v>235</v>
      </c>
      <c r="E888" s="346" t="s">
        <v>1153</v>
      </c>
      <c r="F888" s="338" t="s">
        <v>150</v>
      </c>
      <c r="G888" s="343">
        <v>3189</v>
      </c>
      <c r="H888" s="343">
        <v>3278</v>
      </c>
      <c r="I888" s="218"/>
    </row>
    <row r="889" spans="1:9" ht="15.75" hidden="1" x14ac:dyDescent="0.25">
      <c r="A889" s="342" t="s">
        <v>151</v>
      </c>
      <c r="B889" s="336">
        <v>908</v>
      </c>
      <c r="C889" s="338" t="s">
        <v>166</v>
      </c>
      <c r="D889" s="338" t="s">
        <v>235</v>
      </c>
      <c r="E889" s="346" t="s">
        <v>1153</v>
      </c>
      <c r="F889" s="338" t="s">
        <v>161</v>
      </c>
      <c r="G889" s="343">
        <f>'Пр.4 ведом.20'!G930</f>
        <v>0</v>
      </c>
      <c r="H889" s="343">
        <f t="shared" si="67"/>
        <v>0</v>
      </c>
      <c r="I889" s="218"/>
    </row>
    <row r="890" spans="1:9" ht="15.75" hidden="1" x14ac:dyDescent="0.25">
      <c r="A890" s="342" t="s">
        <v>584</v>
      </c>
      <c r="B890" s="336">
        <v>908</v>
      </c>
      <c r="C890" s="338" t="s">
        <v>166</v>
      </c>
      <c r="D890" s="338" t="s">
        <v>235</v>
      </c>
      <c r="E890" s="346" t="s">
        <v>1153</v>
      </c>
      <c r="F890" s="338" t="s">
        <v>154</v>
      </c>
      <c r="G890" s="343">
        <f>'Пр.4 ведом.20'!G931</f>
        <v>0</v>
      </c>
      <c r="H890" s="343">
        <f t="shared" si="67"/>
        <v>0</v>
      </c>
      <c r="I890" s="218"/>
    </row>
    <row r="891" spans="1:9" ht="15.75" x14ac:dyDescent="0.25">
      <c r="A891" s="340" t="s">
        <v>406</v>
      </c>
      <c r="B891" s="337">
        <v>908</v>
      </c>
      <c r="C891" s="341" t="s">
        <v>250</v>
      </c>
      <c r="D891" s="341"/>
      <c r="E891" s="341"/>
      <c r="F891" s="341"/>
      <c r="G891" s="339">
        <f>G892+G906+G970+G1019</f>
        <v>37536.5</v>
      </c>
      <c r="H891" s="339">
        <f>H892+H906+H970+H1019</f>
        <v>43686.9</v>
      </c>
      <c r="I891" s="218"/>
    </row>
    <row r="892" spans="1:9" ht="15.75" x14ac:dyDescent="0.25">
      <c r="A892" s="340" t="s">
        <v>407</v>
      </c>
      <c r="B892" s="337">
        <v>908</v>
      </c>
      <c r="C892" s="341" t="s">
        <v>250</v>
      </c>
      <c r="D892" s="341" t="s">
        <v>134</v>
      </c>
      <c r="E892" s="341"/>
      <c r="F892" s="341"/>
      <c r="G892" s="339">
        <f>G893</f>
        <v>5160</v>
      </c>
      <c r="H892" s="339">
        <f>H893</f>
        <v>5160</v>
      </c>
      <c r="I892" s="218"/>
    </row>
    <row r="893" spans="1:9" ht="15.75" x14ac:dyDescent="0.25">
      <c r="A893" s="340" t="s">
        <v>157</v>
      </c>
      <c r="B893" s="337">
        <v>908</v>
      </c>
      <c r="C893" s="341" t="s">
        <v>250</v>
      </c>
      <c r="D893" s="341" t="s">
        <v>134</v>
      </c>
      <c r="E893" s="341" t="s">
        <v>912</v>
      </c>
      <c r="F893" s="341"/>
      <c r="G893" s="339">
        <f>G894</f>
        <v>5160</v>
      </c>
      <c r="H893" s="339">
        <f>H894</f>
        <v>5160</v>
      </c>
      <c r="I893" s="218"/>
    </row>
    <row r="894" spans="1:9" ht="31.5" x14ac:dyDescent="0.25">
      <c r="A894" s="340" t="s">
        <v>916</v>
      </c>
      <c r="B894" s="337">
        <v>908</v>
      </c>
      <c r="C894" s="341" t="s">
        <v>250</v>
      </c>
      <c r="D894" s="341" t="s">
        <v>134</v>
      </c>
      <c r="E894" s="341" t="s">
        <v>911</v>
      </c>
      <c r="F894" s="341"/>
      <c r="G894" s="339">
        <f>G903+G900+G895</f>
        <v>5160</v>
      </c>
      <c r="H894" s="339">
        <f>H903+H900+H895</f>
        <v>5160</v>
      </c>
      <c r="I894" s="218"/>
    </row>
    <row r="895" spans="1:9" ht="15.75" hidden="1" x14ac:dyDescent="0.25">
      <c r="A895" s="342" t="s">
        <v>531</v>
      </c>
      <c r="B895" s="336">
        <v>908</v>
      </c>
      <c r="C895" s="338" t="s">
        <v>797</v>
      </c>
      <c r="D895" s="338" t="s">
        <v>134</v>
      </c>
      <c r="E895" s="338" t="s">
        <v>1096</v>
      </c>
      <c r="F895" s="341"/>
      <c r="G895" s="343">
        <f>G896</f>
        <v>0</v>
      </c>
      <c r="H895" s="343">
        <f t="shared" si="67"/>
        <v>0</v>
      </c>
      <c r="I895" s="218"/>
    </row>
    <row r="896" spans="1:9" ht="31.5" hidden="1" x14ac:dyDescent="0.25">
      <c r="A896" s="342" t="s">
        <v>147</v>
      </c>
      <c r="B896" s="336">
        <v>908</v>
      </c>
      <c r="C896" s="338" t="s">
        <v>250</v>
      </c>
      <c r="D896" s="338" t="s">
        <v>134</v>
      </c>
      <c r="E896" s="338" t="s">
        <v>1096</v>
      </c>
      <c r="F896" s="338" t="s">
        <v>148</v>
      </c>
      <c r="G896" s="343">
        <f>G897</f>
        <v>0</v>
      </c>
      <c r="H896" s="343">
        <f t="shared" si="67"/>
        <v>0</v>
      </c>
      <c r="I896" s="218"/>
    </row>
    <row r="897" spans="1:9" ht="31.5" hidden="1" x14ac:dyDescent="0.25">
      <c r="A897" s="342" t="s">
        <v>149</v>
      </c>
      <c r="B897" s="336">
        <v>908</v>
      </c>
      <c r="C897" s="338" t="s">
        <v>250</v>
      </c>
      <c r="D897" s="338" t="s">
        <v>134</v>
      </c>
      <c r="E897" s="338" t="s">
        <v>1096</v>
      </c>
      <c r="F897" s="338" t="s">
        <v>150</v>
      </c>
      <c r="G897" s="343">
        <v>0</v>
      </c>
      <c r="H897" s="343">
        <f t="shared" si="67"/>
        <v>0</v>
      </c>
      <c r="I897" s="218"/>
    </row>
    <row r="898" spans="1:9" ht="15.75" hidden="1" x14ac:dyDescent="0.25">
      <c r="A898" s="342" t="s">
        <v>151</v>
      </c>
      <c r="B898" s="336">
        <v>908</v>
      </c>
      <c r="C898" s="338" t="s">
        <v>250</v>
      </c>
      <c r="D898" s="338" t="s">
        <v>134</v>
      </c>
      <c r="E898" s="338" t="s">
        <v>1096</v>
      </c>
      <c r="F898" s="338" t="s">
        <v>161</v>
      </c>
      <c r="G898" s="343">
        <f>'Пр.4 ведом.20'!G945</f>
        <v>0</v>
      </c>
      <c r="H898" s="343">
        <f t="shared" si="67"/>
        <v>0</v>
      </c>
      <c r="I898" s="218"/>
    </row>
    <row r="899" spans="1:9" ht="47.25" hidden="1" x14ac:dyDescent="0.25">
      <c r="A899" s="342" t="s">
        <v>200</v>
      </c>
      <c r="B899" s="336">
        <v>908</v>
      </c>
      <c r="C899" s="338" t="s">
        <v>250</v>
      </c>
      <c r="D899" s="338" t="s">
        <v>134</v>
      </c>
      <c r="E899" s="338" t="s">
        <v>1096</v>
      </c>
      <c r="F899" s="338" t="s">
        <v>176</v>
      </c>
      <c r="G899" s="343">
        <f>'Пр.4 ведом.20'!G946</f>
        <v>0</v>
      </c>
      <c r="H899" s="343">
        <f t="shared" si="67"/>
        <v>0</v>
      </c>
      <c r="I899" s="218"/>
    </row>
    <row r="900" spans="1:9" ht="31.5" x14ac:dyDescent="0.25">
      <c r="A900" s="345" t="s">
        <v>414</v>
      </c>
      <c r="B900" s="336">
        <v>908</v>
      </c>
      <c r="C900" s="338" t="s">
        <v>250</v>
      </c>
      <c r="D900" s="338" t="s">
        <v>134</v>
      </c>
      <c r="E900" s="338" t="s">
        <v>1097</v>
      </c>
      <c r="F900" s="341"/>
      <c r="G900" s="343">
        <f>G901</f>
        <v>4020</v>
      </c>
      <c r="H900" s="343">
        <f>H901</f>
        <v>4020</v>
      </c>
      <c r="I900" s="218"/>
    </row>
    <row r="901" spans="1:9" ht="31.5" x14ac:dyDescent="0.25">
      <c r="A901" s="342" t="s">
        <v>147</v>
      </c>
      <c r="B901" s="336">
        <v>908</v>
      </c>
      <c r="C901" s="338" t="s">
        <v>250</v>
      </c>
      <c r="D901" s="338" t="s">
        <v>134</v>
      </c>
      <c r="E901" s="338" t="s">
        <v>1097</v>
      </c>
      <c r="F901" s="338" t="s">
        <v>148</v>
      </c>
      <c r="G901" s="343">
        <f>G902</f>
        <v>4020</v>
      </c>
      <c r="H901" s="343">
        <f>H902</f>
        <v>4020</v>
      </c>
      <c r="I901" s="218"/>
    </row>
    <row r="902" spans="1:9" ht="31.5" x14ac:dyDescent="0.25">
      <c r="A902" s="342" t="s">
        <v>149</v>
      </c>
      <c r="B902" s="336">
        <v>908</v>
      </c>
      <c r="C902" s="338" t="s">
        <v>250</v>
      </c>
      <c r="D902" s="338" t="s">
        <v>134</v>
      </c>
      <c r="E902" s="338" t="s">
        <v>1097</v>
      </c>
      <c r="F902" s="338" t="s">
        <v>150</v>
      </c>
      <c r="G902" s="343">
        <f>4020</f>
        <v>4020</v>
      </c>
      <c r="H902" s="343">
        <f t="shared" si="67"/>
        <v>4020</v>
      </c>
      <c r="I902" s="218"/>
    </row>
    <row r="903" spans="1:9" ht="31.5" x14ac:dyDescent="0.25">
      <c r="A903" s="345" t="s">
        <v>1005</v>
      </c>
      <c r="B903" s="336">
        <v>908</v>
      </c>
      <c r="C903" s="338" t="s">
        <v>250</v>
      </c>
      <c r="D903" s="338" t="s">
        <v>134</v>
      </c>
      <c r="E903" s="338" t="s">
        <v>1098</v>
      </c>
      <c r="F903" s="341"/>
      <c r="G903" s="343">
        <f>G904</f>
        <v>1140</v>
      </c>
      <c r="H903" s="343">
        <f>H904</f>
        <v>1140</v>
      </c>
      <c r="I903" s="218"/>
    </row>
    <row r="904" spans="1:9" ht="31.5" x14ac:dyDescent="0.25">
      <c r="A904" s="342" t="s">
        <v>147</v>
      </c>
      <c r="B904" s="336">
        <v>908</v>
      </c>
      <c r="C904" s="338" t="s">
        <v>250</v>
      </c>
      <c r="D904" s="338" t="s">
        <v>134</v>
      </c>
      <c r="E904" s="338" t="s">
        <v>1098</v>
      </c>
      <c r="F904" s="338" t="s">
        <v>148</v>
      </c>
      <c r="G904" s="343">
        <f>G905</f>
        <v>1140</v>
      </c>
      <c r="H904" s="343">
        <f>H905</f>
        <v>1140</v>
      </c>
      <c r="I904" s="218"/>
    </row>
    <row r="905" spans="1:9" ht="31.5" x14ac:dyDescent="0.25">
      <c r="A905" s="342" t="s">
        <v>149</v>
      </c>
      <c r="B905" s="336">
        <v>908</v>
      </c>
      <c r="C905" s="338" t="s">
        <v>250</v>
      </c>
      <c r="D905" s="338" t="s">
        <v>134</v>
      </c>
      <c r="E905" s="338" t="s">
        <v>1098</v>
      </c>
      <c r="F905" s="338" t="s">
        <v>150</v>
      </c>
      <c r="G905" s="343">
        <f>1140</f>
        <v>1140</v>
      </c>
      <c r="H905" s="343">
        <f t="shared" si="67"/>
        <v>1140</v>
      </c>
      <c r="I905" s="218"/>
    </row>
    <row r="906" spans="1:9" ht="15.75" x14ac:dyDescent="0.25">
      <c r="A906" s="340" t="s">
        <v>533</v>
      </c>
      <c r="B906" s="337">
        <v>908</v>
      </c>
      <c r="C906" s="341" t="s">
        <v>250</v>
      </c>
      <c r="D906" s="341" t="s">
        <v>229</v>
      </c>
      <c r="E906" s="341"/>
      <c r="F906" s="341"/>
      <c r="G906" s="339">
        <f>G907+G936+G965</f>
        <v>5935</v>
      </c>
      <c r="H906" s="339">
        <f>H907+H936+H965</f>
        <v>4693.3999999999996</v>
      </c>
      <c r="I906" s="218"/>
    </row>
    <row r="907" spans="1:9" ht="15.75" x14ac:dyDescent="0.25">
      <c r="A907" s="340" t="s">
        <v>157</v>
      </c>
      <c r="B907" s="337">
        <v>908</v>
      </c>
      <c r="C907" s="341" t="s">
        <v>250</v>
      </c>
      <c r="D907" s="341" t="s">
        <v>229</v>
      </c>
      <c r="E907" s="341" t="s">
        <v>912</v>
      </c>
      <c r="F907" s="341"/>
      <c r="G907" s="339">
        <f>G908+G919</f>
        <v>5000</v>
      </c>
      <c r="H907" s="339">
        <f>H908+H919</f>
        <v>3789.4</v>
      </c>
      <c r="I907" s="218"/>
    </row>
    <row r="908" spans="1:9" ht="31.5" x14ac:dyDescent="0.25">
      <c r="A908" s="340" t="s">
        <v>916</v>
      </c>
      <c r="B908" s="337">
        <v>908</v>
      </c>
      <c r="C908" s="341" t="s">
        <v>250</v>
      </c>
      <c r="D908" s="341" t="s">
        <v>229</v>
      </c>
      <c r="E908" s="341" t="s">
        <v>911</v>
      </c>
      <c r="F908" s="341"/>
      <c r="G908" s="339">
        <f>G909+G914</f>
        <v>5000</v>
      </c>
      <c r="H908" s="339">
        <f>H909+H914</f>
        <v>3789.4</v>
      </c>
      <c r="I908" s="218"/>
    </row>
    <row r="909" spans="1:9" ht="15.75" hidden="1" x14ac:dyDescent="0.25">
      <c r="A909" s="35" t="s">
        <v>553</v>
      </c>
      <c r="B909" s="336">
        <v>908</v>
      </c>
      <c r="C909" s="338" t="s">
        <v>250</v>
      </c>
      <c r="D909" s="338" t="s">
        <v>229</v>
      </c>
      <c r="E909" s="338" t="s">
        <v>1115</v>
      </c>
      <c r="F909" s="338"/>
      <c r="G909" s="343">
        <f>G910+G912</f>
        <v>0</v>
      </c>
      <c r="H909" s="343">
        <f t="shared" si="67"/>
        <v>0</v>
      </c>
      <c r="I909" s="218"/>
    </row>
    <row r="910" spans="1:9" ht="31.5" hidden="1" x14ac:dyDescent="0.25">
      <c r="A910" s="342" t="s">
        <v>147</v>
      </c>
      <c r="B910" s="336">
        <v>908</v>
      </c>
      <c r="C910" s="338" t="s">
        <v>250</v>
      </c>
      <c r="D910" s="338" t="s">
        <v>229</v>
      </c>
      <c r="E910" s="338" t="s">
        <v>1115</v>
      </c>
      <c r="F910" s="338" t="s">
        <v>148</v>
      </c>
      <c r="G910" s="343">
        <f>G911</f>
        <v>0</v>
      </c>
      <c r="H910" s="343">
        <f t="shared" si="67"/>
        <v>0</v>
      </c>
      <c r="I910" s="218"/>
    </row>
    <row r="911" spans="1:9" ht="31.5" hidden="1" x14ac:dyDescent="0.25">
      <c r="A911" s="342" t="s">
        <v>149</v>
      </c>
      <c r="B911" s="336">
        <v>908</v>
      </c>
      <c r="C911" s="338" t="s">
        <v>250</v>
      </c>
      <c r="D911" s="338" t="s">
        <v>229</v>
      </c>
      <c r="E911" s="338" t="s">
        <v>1115</v>
      </c>
      <c r="F911" s="338" t="s">
        <v>150</v>
      </c>
      <c r="G911" s="343">
        <v>0</v>
      </c>
      <c r="H911" s="343">
        <f t="shared" si="67"/>
        <v>0</v>
      </c>
      <c r="I911" s="218"/>
    </row>
    <row r="912" spans="1:9" ht="15.75" hidden="1" x14ac:dyDescent="0.25">
      <c r="A912" s="342" t="s">
        <v>151</v>
      </c>
      <c r="B912" s="336">
        <v>908</v>
      </c>
      <c r="C912" s="338" t="s">
        <v>250</v>
      </c>
      <c r="D912" s="338" t="s">
        <v>229</v>
      </c>
      <c r="E912" s="338" t="s">
        <v>1115</v>
      </c>
      <c r="F912" s="338" t="s">
        <v>161</v>
      </c>
      <c r="G912" s="343">
        <f>G913</f>
        <v>0</v>
      </c>
      <c r="H912" s="343">
        <f t="shared" si="67"/>
        <v>0</v>
      </c>
      <c r="I912" s="218"/>
    </row>
    <row r="913" spans="1:9" ht="47.25" hidden="1" x14ac:dyDescent="0.25">
      <c r="A913" s="342" t="s">
        <v>200</v>
      </c>
      <c r="B913" s="336">
        <v>908</v>
      </c>
      <c r="C913" s="338" t="s">
        <v>250</v>
      </c>
      <c r="D913" s="338" t="s">
        <v>229</v>
      </c>
      <c r="E913" s="338" t="s">
        <v>1115</v>
      </c>
      <c r="F913" s="338" t="s">
        <v>176</v>
      </c>
      <c r="G913" s="343">
        <f>'Пр.4 ведом.20'!G965</f>
        <v>0</v>
      </c>
      <c r="H913" s="343">
        <f t="shared" si="67"/>
        <v>0</v>
      </c>
      <c r="I913" s="218"/>
    </row>
    <row r="914" spans="1:9" ht="31.5" x14ac:dyDescent="0.25">
      <c r="A914" s="345" t="s">
        <v>1005</v>
      </c>
      <c r="B914" s="336">
        <v>908</v>
      </c>
      <c r="C914" s="338" t="s">
        <v>250</v>
      </c>
      <c r="D914" s="338" t="s">
        <v>229</v>
      </c>
      <c r="E914" s="338" t="s">
        <v>1098</v>
      </c>
      <c r="F914" s="338"/>
      <c r="G914" s="343">
        <f>G915</f>
        <v>5000</v>
      </c>
      <c r="H914" s="343">
        <f>H915</f>
        <v>3789.4</v>
      </c>
      <c r="I914" s="218"/>
    </row>
    <row r="915" spans="1:9" ht="31.5" x14ac:dyDescent="0.25">
      <c r="A915" s="342" t="s">
        <v>147</v>
      </c>
      <c r="B915" s="336">
        <v>908</v>
      </c>
      <c r="C915" s="338" t="s">
        <v>250</v>
      </c>
      <c r="D915" s="338" t="s">
        <v>229</v>
      </c>
      <c r="E915" s="338" t="s">
        <v>1098</v>
      </c>
      <c r="F915" s="338" t="s">
        <v>148</v>
      </c>
      <c r="G915" s="343">
        <f>G916</f>
        <v>5000</v>
      </c>
      <c r="H915" s="343">
        <f>H916</f>
        <v>3789.4</v>
      </c>
      <c r="I915" s="218"/>
    </row>
    <row r="916" spans="1:9" ht="31.5" x14ac:dyDescent="0.25">
      <c r="A916" s="342" t="s">
        <v>149</v>
      </c>
      <c r="B916" s="336">
        <v>908</v>
      </c>
      <c r="C916" s="338" t="s">
        <v>250</v>
      </c>
      <c r="D916" s="338" t="s">
        <v>229</v>
      </c>
      <c r="E916" s="338" t="s">
        <v>1098</v>
      </c>
      <c r="F916" s="338" t="s">
        <v>150</v>
      </c>
      <c r="G916" s="343">
        <f>5000</f>
        <v>5000</v>
      </c>
      <c r="H916" s="343">
        <f>G916-1210.6</f>
        <v>3789.4</v>
      </c>
      <c r="I916" s="218"/>
    </row>
    <row r="917" spans="1:9" ht="15.75" hidden="1" x14ac:dyDescent="0.25">
      <c r="A917" s="342" t="s">
        <v>151</v>
      </c>
      <c r="B917" s="336">
        <v>908</v>
      </c>
      <c r="C917" s="338" t="s">
        <v>250</v>
      </c>
      <c r="D917" s="338" t="s">
        <v>229</v>
      </c>
      <c r="E917" s="338" t="s">
        <v>1098</v>
      </c>
      <c r="F917" s="338" t="s">
        <v>161</v>
      </c>
      <c r="G917" s="343">
        <f>'Пр.4 ведом.20'!G970</f>
        <v>0</v>
      </c>
      <c r="H917" s="343">
        <f t="shared" si="67"/>
        <v>0</v>
      </c>
      <c r="I917" s="218"/>
    </row>
    <row r="918" spans="1:9" ht="15.75" hidden="1" x14ac:dyDescent="0.25">
      <c r="A918" s="342" t="s">
        <v>162</v>
      </c>
      <c r="B918" s="336">
        <v>908</v>
      </c>
      <c r="C918" s="338" t="s">
        <v>250</v>
      </c>
      <c r="D918" s="338" t="s">
        <v>229</v>
      </c>
      <c r="E918" s="338" t="s">
        <v>1098</v>
      </c>
      <c r="F918" s="338" t="s">
        <v>163</v>
      </c>
      <c r="G918" s="343">
        <f>'Пр.4 ведом.20'!G971</f>
        <v>0</v>
      </c>
      <c r="H918" s="343">
        <f t="shared" si="67"/>
        <v>0</v>
      </c>
      <c r="I918" s="218"/>
    </row>
    <row r="919" spans="1:9" ht="47.25" hidden="1" x14ac:dyDescent="0.25">
      <c r="A919" s="340" t="s">
        <v>1171</v>
      </c>
      <c r="B919" s="337">
        <v>908</v>
      </c>
      <c r="C919" s="341" t="s">
        <v>250</v>
      </c>
      <c r="D919" s="341" t="s">
        <v>229</v>
      </c>
      <c r="E919" s="341" t="s">
        <v>1116</v>
      </c>
      <c r="F919" s="341"/>
      <c r="G919" s="339">
        <f>G920+G928+G925+G933</f>
        <v>0</v>
      </c>
      <c r="H919" s="339">
        <f>H920+H928+H925+H933</f>
        <v>0</v>
      </c>
      <c r="I919" s="218"/>
    </row>
    <row r="920" spans="1:9" ht="47.25" hidden="1" x14ac:dyDescent="0.25">
      <c r="A920" s="342" t="s">
        <v>873</v>
      </c>
      <c r="B920" s="336">
        <v>908</v>
      </c>
      <c r="C920" s="338" t="s">
        <v>250</v>
      </c>
      <c r="D920" s="338" t="s">
        <v>229</v>
      </c>
      <c r="E920" s="338" t="s">
        <v>1117</v>
      </c>
      <c r="F920" s="338"/>
      <c r="G920" s="343">
        <f>G921+G923</f>
        <v>0</v>
      </c>
      <c r="H920" s="343">
        <f t="shared" ref="H920:H987" si="71">G920</f>
        <v>0</v>
      </c>
      <c r="I920" s="218"/>
    </row>
    <row r="921" spans="1:9" ht="31.5" hidden="1" x14ac:dyDescent="0.25">
      <c r="A921" s="342" t="s">
        <v>147</v>
      </c>
      <c r="B921" s="336">
        <v>908</v>
      </c>
      <c r="C921" s="338" t="s">
        <v>250</v>
      </c>
      <c r="D921" s="338" t="s">
        <v>229</v>
      </c>
      <c r="E921" s="338" t="s">
        <v>1117</v>
      </c>
      <c r="F921" s="338" t="s">
        <v>148</v>
      </c>
      <c r="G921" s="343">
        <f>G922</f>
        <v>0</v>
      </c>
      <c r="H921" s="343">
        <f t="shared" si="71"/>
        <v>0</v>
      </c>
      <c r="I921" s="218"/>
    </row>
    <row r="922" spans="1:9" ht="31.5" hidden="1" x14ac:dyDescent="0.25">
      <c r="A922" s="342" t="s">
        <v>149</v>
      </c>
      <c r="B922" s="336">
        <v>908</v>
      </c>
      <c r="C922" s="338" t="s">
        <v>250</v>
      </c>
      <c r="D922" s="338" t="s">
        <v>229</v>
      </c>
      <c r="E922" s="338" t="s">
        <v>1117</v>
      </c>
      <c r="F922" s="338" t="s">
        <v>150</v>
      </c>
      <c r="G922" s="343">
        <v>0</v>
      </c>
      <c r="H922" s="343">
        <f t="shared" si="71"/>
        <v>0</v>
      </c>
      <c r="I922" s="218"/>
    </row>
    <row r="923" spans="1:9" ht="15.75" hidden="1" x14ac:dyDescent="0.25">
      <c r="A923" s="342" t="s">
        <v>151</v>
      </c>
      <c r="B923" s="336">
        <v>908</v>
      </c>
      <c r="C923" s="338" t="s">
        <v>250</v>
      </c>
      <c r="D923" s="338" t="s">
        <v>229</v>
      </c>
      <c r="E923" s="338" t="s">
        <v>1117</v>
      </c>
      <c r="F923" s="338" t="s">
        <v>883</v>
      </c>
      <c r="G923" s="343">
        <f>'Пр.4 ведом.20'!G976</f>
        <v>0</v>
      </c>
      <c r="H923" s="343">
        <f t="shared" si="71"/>
        <v>0</v>
      </c>
      <c r="I923" s="218"/>
    </row>
    <row r="924" spans="1:9" ht="15.75" hidden="1" x14ac:dyDescent="0.25">
      <c r="A924" s="342" t="s">
        <v>584</v>
      </c>
      <c r="B924" s="336">
        <v>908</v>
      </c>
      <c r="C924" s="338" t="s">
        <v>250</v>
      </c>
      <c r="D924" s="338" t="s">
        <v>229</v>
      </c>
      <c r="E924" s="338" t="s">
        <v>1117</v>
      </c>
      <c r="F924" s="338" t="s">
        <v>1246</v>
      </c>
      <c r="G924" s="343">
        <v>0</v>
      </c>
      <c r="H924" s="343">
        <f t="shared" si="71"/>
        <v>0</v>
      </c>
      <c r="I924" s="218"/>
    </row>
    <row r="925" spans="1:9" ht="63" hidden="1" x14ac:dyDescent="0.25">
      <c r="A925" s="342" t="s">
        <v>824</v>
      </c>
      <c r="B925" s="336">
        <v>908</v>
      </c>
      <c r="C925" s="338" t="s">
        <v>250</v>
      </c>
      <c r="D925" s="338" t="s">
        <v>229</v>
      </c>
      <c r="E925" s="338" t="s">
        <v>1118</v>
      </c>
      <c r="F925" s="338"/>
      <c r="G925" s="343">
        <f>'Пр.4 ведом.20'!G978</f>
        <v>0</v>
      </c>
      <c r="H925" s="343">
        <f t="shared" si="71"/>
        <v>0</v>
      </c>
      <c r="I925" s="218"/>
    </row>
    <row r="926" spans="1:9" ht="31.5" hidden="1" x14ac:dyDescent="0.25">
      <c r="A926" s="342" t="s">
        <v>147</v>
      </c>
      <c r="B926" s="336">
        <v>908</v>
      </c>
      <c r="C926" s="338" t="s">
        <v>250</v>
      </c>
      <c r="D926" s="338" t="s">
        <v>229</v>
      </c>
      <c r="E926" s="338" t="s">
        <v>1118</v>
      </c>
      <c r="F926" s="338" t="s">
        <v>148</v>
      </c>
      <c r="G926" s="343">
        <f>'Пр.4 ведом.20'!G979</f>
        <v>0</v>
      </c>
      <c r="H926" s="343">
        <f t="shared" si="71"/>
        <v>0</v>
      </c>
      <c r="I926" s="218"/>
    </row>
    <row r="927" spans="1:9" ht="31.5" hidden="1" x14ac:dyDescent="0.25">
      <c r="A927" s="342" t="s">
        <v>149</v>
      </c>
      <c r="B927" s="336">
        <v>908</v>
      </c>
      <c r="C927" s="338" t="s">
        <v>250</v>
      </c>
      <c r="D927" s="338" t="s">
        <v>229</v>
      </c>
      <c r="E927" s="338" t="s">
        <v>1118</v>
      </c>
      <c r="F927" s="338" t="s">
        <v>150</v>
      </c>
      <c r="G927" s="343">
        <f>'Пр.4 ведом.20'!G980</f>
        <v>0</v>
      </c>
      <c r="H927" s="343">
        <f t="shared" si="71"/>
        <v>0</v>
      </c>
      <c r="I927" s="218"/>
    </row>
    <row r="928" spans="1:9" ht="47.25" hidden="1" x14ac:dyDescent="0.25">
      <c r="A928" s="98" t="s">
        <v>879</v>
      </c>
      <c r="B928" s="336">
        <v>908</v>
      </c>
      <c r="C928" s="338" t="s">
        <v>250</v>
      </c>
      <c r="D928" s="338" t="s">
        <v>229</v>
      </c>
      <c r="E928" s="338" t="s">
        <v>1119</v>
      </c>
      <c r="F928" s="338"/>
      <c r="G928" s="343">
        <f>'Пр.4 ведом.20'!G981</f>
        <v>0</v>
      </c>
      <c r="H928" s="343">
        <f t="shared" si="71"/>
        <v>0</v>
      </c>
      <c r="I928" s="218"/>
    </row>
    <row r="929" spans="1:9" ht="31.5" hidden="1" x14ac:dyDescent="0.25">
      <c r="A929" s="342" t="s">
        <v>884</v>
      </c>
      <c r="B929" s="336">
        <v>908</v>
      </c>
      <c r="C929" s="338" t="s">
        <v>250</v>
      </c>
      <c r="D929" s="338" t="s">
        <v>229</v>
      </c>
      <c r="E929" s="338" t="s">
        <v>1119</v>
      </c>
      <c r="F929" s="338" t="s">
        <v>883</v>
      </c>
      <c r="G929" s="343">
        <f>'Пр.4 ведом.20'!G982</f>
        <v>0</v>
      </c>
      <c r="H929" s="343">
        <f t="shared" si="71"/>
        <v>0</v>
      </c>
      <c r="I929" s="218"/>
    </row>
    <row r="930" spans="1:9" ht="63" hidden="1" x14ac:dyDescent="0.25">
      <c r="A930" s="342" t="s">
        <v>1224</v>
      </c>
      <c r="B930" s="336">
        <v>908</v>
      </c>
      <c r="C930" s="338" t="s">
        <v>250</v>
      </c>
      <c r="D930" s="338" t="s">
        <v>229</v>
      </c>
      <c r="E930" s="338" t="s">
        <v>1119</v>
      </c>
      <c r="F930" s="338" t="s">
        <v>1246</v>
      </c>
      <c r="G930" s="343">
        <f>'Пр.4 ведом.20'!G983</f>
        <v>0</v>
      </c>
      <c r="H930" s="343">
        <f t="shared" si="71"/>
        <v>0</v>
      </c>
      <c r="I930" s="218"/>
    </row>
    <row r="931" spans="1:9" ht="15.75" hidden="1" x14ac:dyDescent="0.25">
      <c r="A931" s="342" t="s">
        <v>151</v>
      </c>
      <c r="B931" s="336">
        <v>908</v>
      </c>
      <c r="C931" s="338" t="s">
        <v>250</v>
      </c>
      <c r="D931" s="338" t="s">
        <v>229</v>
      </c>
      <c r="E931" s="338" t="s">
        <v>1119</v>
      </c>
      <c r="F931" s="338" t="s">
        <v>161</v>
      </c>
      <c r="G931" s="343">
        <f>'Пр.4 ведом.20'!G984</f>
        <v>0</v>
      </c>
      <c r="H931" s="343">
        <f t="shared" si="71"/>
        <v>0</v>
      </c>
      <c r="I931" s="218"/>
    </row>
    <row r="932" spans="1:9" ht="15.75" hidden="1" x14ac:dyDescent="0.25">
      <c r="A932" s="342" t="s">
        <v>727</v>
      </c>
      <c r="B932" s="336">
        <v>908</v>
      </c>
      <c r="C932" s="338" t="s">
        <v>250</v>
      </c>
      <c r="D932" s="338" t="s">
        <v>229</v>
      </c>
      <c r="E932" s="338" t="s">
        <v>1119</v>
      </c>
      <c r="F932" s="338" t="s">
        <v>154</v>
      </c>
      <c r="G932" s="343">
        <f>'Пр.4 ведом.20'!G985</f>
        <v>0</v>
      </c>
      <c r="H932" s="343">
        <f t="shared" si="71"/>
        <v>0</v>
      </c>
      <c r="I932" s="218"/>
    </row>
    <row r="933" spans="1:9" ht="31.5" hidden="1" x14ac:dyDescent="0.25">
      <c r="A933" s="342" t="s">
        <v>1247</v>
      </c>
      <c r="B933" s="336">
        <v>908</v>
      </c>
      <c r="C933" s="338" t="s">
        <v>250</v>
      </c>
      <c r="D933" s="338" t="s">
        <v>229</v>
      </c>
      <c r="E933" s="338" t="s">
        <v>1248</v>
      </c>
      <c r="F933" s="338"/>
      <c r="G933" s="343">
        <f>'Пр.4 ведом.20'!G986</f>
        <v>0</v>
      </c>
      <c r="H933" s="343">
        <f t="shared" si="71"/>
        <v>0</v>
      </c>
      <c r="I933" s="218"/>
    </row>
    <row r="934" spans="1:9" ht="31.5" hidden="1" x14ac:dyDescent="0.25">
      <c r="A934" s="342" t="s">
        <v>147</v>
      </c>
      <c r="B934" s="336">
        <v>908</v>
      </c>
      <c r="C934" s="338" t="s">
        <v>250</v>
      </c>
      <c r="D934" s="338" t="s">
        <v>229</v>
      </c>
      <c r="E934" s="338" t="s">
        <v>1248</v>
      </c>
      <c r="F934" s="338" t="s">
        <v>148</v>
      </c>
      <c r="G934" s="343">
        <f>'Пр.4 ведом.20'!G987</f>
        <v>0</v>
      </c>
      <c r="H934" s="343">
        <f t="shared" si="71"/>
        <v>0</v>
      </c>
      <c r="I934" s="218"/>
    </row>
    <row r="935" spans="1:9" ht="31.5" hidden="1" x14ac:dyDescent="0.25">
      <c r="A935" s="342" t="s">
        <v>149</v>
      </c>
      <c r="B935" s="336">
        <v>908</v>
      </c>
      <c r="C935" s="338" t="s">
        <v>250</v>
      </c>
      <c r="D935" s="338" t="s">
        <v>229</v>
      </c>
      <c r="E935" s="338" t="s">
        <v>1248</v>
      </c>
      <c r="F935" s="338" t="s">
        <v>150</v>
      </c>
      <c r="G935" s="343">
        <f>'Пр.4 ведом.20'!G988</f>
        <v>0</v>
      </c>
      <c r="H935" s="343">
        <f t="shared" si="71"/>
        <v>0</v>
      </c>
      <c r="I935" s="218"/>
    </row>
    <row r="936" spans="1:9" ht="63" x14ac:dyDescent="0.25">
      <c r="A936" s="340" t="s">
        <v>1356</v>
      </c>
      <c r="B936" s="337">
        <v>908</v>
      </c>
      <c r="C936" s="341" t="s">
        <v>250</v>
      </c>
      <c r="D936" s="341" t="s">
        <v>229</v>
      </c>
      <c r="E936" s="341" t="s">
        <v>534</v>
      </c>
      <c r="F936" s="341"/>
      <c r="G936" s="339">
        <f>G937+G941+G945+G949+G961+G957</f>
        <v>700</v>
      </c>
      <c r="H936" s="339">
        <f>H937+H941+H945+H949+H961+H957</f>
        <v>700</v>
      </c>
      <c r="I936" s="218"/>
    </row>
    <row r="937" spans="1:9" ht="31.5" x14ac:dyDescent="0.25">
      <c r="A937" s="340" t="s">
        <v>1099</v>
      </c>
      <c r="B937" s="337">
        <v>908</v>
      </c>
      <c r="C937" s="341" t="s">
        <v>250</v>
      </c>
      <c r="D937" s="341" t="s">
        <v>229</v>
      </c>
      <c r="E937" s="341" t="s">
        <v>1101</v>
      </c>
      <c r="F937" s="341"/>
      <c r="G937" s="339">
        <f t="shared" ref="G937:H939" si="72">G938</f>
        <v>700</v>
      </c>
      <c r="H937" s="339">
        <f t="shared" si="72"/>
        <v>700</v>
      </c>
      <c r="I937" s="218"/>
    </row>
    <row r="938" spans="1:9" ht="15.75" x14ac:dyDescent="0.25">
      <c r="A938" s="45" t="s">
        <v>1100</v>
      </c>
      <c r="B938" s="336">
        <v>908</v>
      </c>
      <c r="C938" s="346" t="s">
        <v>250</v>
      </c>
      <c r="D938" s="346" t="s">
        <v>229</v>
      </c>
      <c r="E938" s="338" t="s">
        <v>1102</v>
      </c>
      <c r="F938" s="346"/>
      <c r="G938" s="343">
        <f t="shared" si="72"/>
        <v>700</v>
      </c>
      <c r="H938" s="343">
        <f t="shared" si="72"/>
        <v>700</v>
      </c>
      <c r="I938" s="218"/>
    </row>
    <row r="939" spans="1:9" ht="31.5" x14ac:dyDescent="0.25">
      <c r="A939" s="31" t="s">
        <v>147</v>
      </c>
      <c r="B939" s="336">
        <v>908</v>
      </c>
      <c r="C939" s="346" t="s">
        <v>250</v>
      </c>
      <c r="D939" s="346" t="s">
        <v>229</v>
      </c>
      <c r="E939" s="338" t="s">
        <v>1102</v>
      </c>
      <c r="F939" s="346" t="s">
        <v>148</v>
      </c>
      <c r="G939" s="343">
        <f t="shared" si="72"/>
        <v>700</v>
      </c>
      <c r="H939" s="343">
        <f t="shared" si="72"/>
        <v>700</v>
      </c>
      <c r="I939" s="218"/>
    </row>
    <row r="940" spans="1:9" ht="31.5" x14ac:dyDescent="0.25">
      <c r="A940" s="31" t="s">
        <v>149</v>
      </c>
      <c r="B940" s="336">
        <v>908</v>
      </c>
      <c r="C940" s="346" t="s">
        <v>250</v>
      </c>
      <c r="D940" s="346" t="s">
        <v>229</v>
      </c>
      <c r="E940" s="338" t="s">
        <v>1102</v>
      </c>
      <c r="F940" s="346" t="s">
        <v>150</v>
      </c>
      <c r="G940" s="343">
        <v>700</v>
      </c>
      <c r="H940" s="343">
        <v>700</v>
      </c>
      <c r="I940" s="218"/>
    </row>
    <row r="941" spans="1:9" ht="31.5" hidden="1" x14ac:dyDescent="0.25">
      <c r="A941" s="34" t="s">
        <v>1103</v>
      </c>
      <c r="B941" s="337">
        <v>908</v>
      </c>
      <c r="C941" s="334" t="s">
        <v>250</v>
      </c>
      <c r="D941" s="334" t="s">
        <v>229</v>
      </c>
      <c r="E941" s="341" t="s">
        <v>1104</v>
      </c>
      <c r="F941" s="334"/>
      <c r="G941" s="339">
        <f>G942</f>
        <v>0</v>
      </c>
      <c r="H941" s="339">
        <f>H942</f>
        <v>0</v>
      </c>
      <c r="I941" s="218"/>
    </row>
    <row r="942" spans="1:9" ht="15.75" hidden="1" x14ac:dyDescent="0.25">
      <c r="A942" s="45" t="s">
        <v>539</v>
      </c>
      <c r="B942" s="336">
        <v>908</v>
      </c>
      <c r="C942" s="346" t="s">
        <v>250</v>
      </c>
      <c r="D942" s="346" t="s">
        <v>229</v>
      </c>
      <c r="E942" s="338" t="s">
        <v>1107</v>
      </c>
      <c r="F942" s="346"/>
      <c r="G942" s="343">
        <f>G943</f>
        <v>0</v>
      </c>
      <c r="H942" s="343">
        <f t="shared" si="71"/>
        <v>0</v>
      </c>
      <c r="I942" s="218"/>
    </row>
    <row r="943" spans="1:9" ht="31.5" hidden="1" x14ac:dyDescent="0.25">
      <c r="A943" s="31" t="s">
        <v>147</v>
      </c>
      <c r="B943" s="336">
        <v>908</v>
      </c>
      <c r="C943" s="346" t="s">
        <v>250</v>
      </c>
      <c r="D943" s="346" t="s">
        <v>229</v>
      </c>
      <c r="E943" s="338" t="s">
        <v>1107</v>
      </c>
      <c r="F943" s="346" t="s">
        <v>148</v>
      </c>
      <c r="G943" s="343">
        <f>G944</f>
        <v>0</v>
      </c>
      <c r="H943" s="343">
        <f t="shared" si="71"/>
        <v>0</v>
      </c>
      <c r="I943" s="218"/>
    </row>
    <row r="944" spans="1:9" ht="31.5" hidden="1" x14ac:dyDescent="0.25">
      <c r="A944" s="31" t="s">
        <v>149</v>
      </c>
      <c r="B944" s="336">
        <v>908</v>
      </c>
      <c r="C944" s="346" t="s">
        <v>250</v>
      </c>
      <c r="D944" s="346" t="s">
        <v>229</v>
      </c>
      <c r="E944" s="338" t="s">
        <v>1107</v>
      </c>
      <c r="F944" s="346" t="s">
        <v>150</v>
      </c>
      <c r="G944" s="343">
        <v>0</v>
      </c>
      <c r="H944" s="343">
        <f t="shared" si="71"/>
        <v>0</v>
      </c>
      <c r="I944" s="218"/>
    </row>
    <row r="945" spans="1:9" ht="31.5" hidden="1" x14ac:dyDescent="0.25">
      <c r="A945" s="58" t="s">
        <v>1105</v>
      </c>
      <c r="B945" s="337">
        <v>908</v>
      </c>
      <c r="C945" s="334" t="s">
        <v>250</v>
      </c>
      <c r="D945" s="334" t="s">
        <v>229</v>
      </c>
      <c r="E945" s="341" t="s">
        <v>1106</v>
      </c>
      <c r="F945" s="334"/>
      <c r="G945" s="4">
        <f>G946</f>
        <v>0</v>
      </c>
      <c r="H945" s="4">
        <f>H946</f>
        <v>0</v>
      </c>
      <c r="I945" s="218"/>
    </row>
    <row r="946" spans="1:9" ht="15.75" hidden="1" x14ac:dyDescent="0.25">
      <c r="A946" s="45" t="s">
        <v>541</v>
      </c>
      <c r="B946" s="336">
        <v>908</v>
      </c>
      <c r="C946" s="346" t="s">
        <v>250</v>
      </c>
      <c r="D946" s="346" t="s">
        <v>229</v>
      </c>
      <c r="E946" s="338" t="s">
        <v>1108</v>
      </c>
      <c r="F946" s="346"/>
      <c r="G946" s="343">
        <f>'Пр.4 ведом.20'!G999</f>
        <v>0</v>
      </c>
      <c r="H946" s="343">
        <f t="shared" si="71"/>
        <v>0</v>
      </c>
      <c r="I946" s="218"/>
    </row>
    <row r="947" spans="1:9" ht="31.5" hidden="1" x14ac:dyDescent="0.25">
      <c r="A947" s="31" t="s">
        <v>147</v>
      </c>
      <c r="B947" s="336">
        <v>908</v>
      </c>
      <c r="C947" s="346" t="s">
        <v>250</v>
      </c>
      <c r="D947" s="346" t="s">
        <v>229</v>
      </c>
      <c r="E947" s="338" t="s">
        <v>1108</v>
      </c>
      <c r="F947" s="346" t="s">
        <v>148</v>
      </c>
      <c r="G947" s="343">
        <f>'Пр.4 ведом.20'!G1000</f>
        <v>0</v>
      </c>
      <c r="H947" s="343">
        <f t="shared" si="71"/>
        <v>0</v>
      </c>
      <c r="I947" s="218"/>
    </row>
    <row r="948" spans="1:9" ht="31.5" hidden="1" x14ac:dyDescent="0.25">
      <c r="A948" s="31" t="s">
        <v>149</v>
      </c>
      <c r="B948" s="336">
        <v>908</v>
      </c>
      <c r="C948" s="346" t="s">
        <v>250</v>
      </c>
      <c r="D948" s="346" t="s">
        <v>229</v>
      </c>
      <c r="E948" s="338" t="s">
        <v>1108</v>
      </c>
      <c r="F948" s="346" t="s">
        <v>150</v>
      </c>
      <c r="G948" s="343">
        <f>'Пр.4 ведом.20'!G1001</f>
        <v>0</v>
      </c>
      <c r="H948" s="343">
        <f t="shared" si="71"/>
        <v>0</v>
      </c>
      <c r="I948" s="218"/>
    </row>
    <row r="949" spans="1:9" ht="31.5" hidden="1" x14ac:dyDescent="0.25">
      <c r="A949" s="58" t="s">
        <v>1109</v>
      </c>
      <c r="B949" s="337">
        <v>908</v>
      </c>
      <c r="C949" s="334" t="s">
        <v>250</v>
      </c>
      <c r="D949" s="334" t="s">
        <v>229</v>
      </c>
      <c r="E949" s="341" t="s">
        <v>1110</v>
      </c>
      <c r="F949" s="334"/>
      <c r="G949" s="4">
        <f t="shared" ref="G949:H951" si="73">G950</f>
        <v>0</v>
      </c>
      <c r="H949" s="4">
        <f t="shared" si="73"/>
        <v>0</v>
      </c>
      <c r="I949" s="218"/>
    </row>
    <row r="950" spans="1:9" ht="15.75" hidden="1" x14ac:dyDescent="0.25">
      <c r="A950" s="45" t="s">
        <v>543</v>
      </c>
      <c r="B950" s="336">
        <v>908</v>
      </c>
      <c r="C950" s="346" t="s">
        <v>250</v>
      </c>
      <c r="D950" s="346" t="s">
        <v>229</v>
      </c>
      <c r="E950" s="338" t="s">
        <v>1111</v>
      </c>
      <c r="F950" s="346"/>
      <c r="G950" s="343">
        <f t="shared" si="73"/>
        <v>0</v>
      </c>
      <c r="H950" s="343">
        <f t="shared" si="73"/>
        <v>0</v>
      </c>
      <c r="I950" s="218"/>
    </row>
    <row r="951" spans="1:9" ht="31.5" hidden="1" x14ac:dyDescent="0.25">
      <c r="A951" s="31" t="s">
        <v>147</v>
      </c>
      <c r="B951" s="336">
        <v>908</v>
      </c>
      <c r="C951" s="346" t="s">
        <v>250</v>
      </c>
      <c r="D951" s="346" t="s">
        <v>229</v>
      </c>
      <c r="E951" s="338" t="s">
        <v>1111</v>
      </c>
      <c r="F951" s="346" t="s">
        <v>148</v>
      </c>
      <c r="G951" s="343">
        <f t="shared" si="73"/>
        <v>0</v>
      </c>
      <c r="H951" s="343">
        <f t="shared" si="73"/>
        <v>0</v>
      </c>
      <c r="I951" s="218"/>
    </row>
    <row r="952" spans="1:9" ht="31.5" hidden="1" x14ac:dyDescent="0.25">
      <c r="A952" s="31" t="s">
        <v>149</v>
      </c>
      <c r="B952" s="336">
        <v>908</v>
      </c>
      <c r="C952" s="346" t="s">
        <v>250</v>
      </c>
      <c r="D952" s="346" t="s">
        <v>229</v>
      </c>
      <c r="E952" s="338" t="s">
        <v>1111</v>
      </c>
      <c r="F952" s="346" t="s">
        <v>150</v>
      </c>
      <c r="G952" s="343">
        <v>0</v>
      </c>
      <c r="H952" s="343">
        <v>0</v>
      </c>
      <c r="I952" s="218"/>
    </row>
    <row r="953" spans="1:9" ht="31.5" hidden="1" x14ac:dyDescent="0.25">
      <c r="A953" s="34" t="s">
        <v>1172</v>
      </c>
      <c r="B953" s="337">
        <v>908</v>
      </c>
      <c r="C953" s="334" t="s">
        <v>250</v>
      </c>
      <c r="D953" s="334" t="s">
        <v>229</v>
      </c>
      <c r="E953" s="341" t="s">
        <v>1173</v>
      </c>
      <c r="F953" s="334"/>
      <c r="G953" s="4">
        <f>G954</f>
        <v>0</v>
      </c>
      <c r="H953" s="4">
        <f>H954</f>
        <v>0</v>
      </c>
      <c r="I953" s="218"/>
    </row>
    <row r="954" spans="1:9" ht="15.75" hidden="1" x14ac:dyDescent="0.25">
      <c r="A954" s="45" t="s">
        <v>545</v>
      </c>
      <c r="B954" s="336">
        <v>908</v>
      </c>
      <c r="C954" s="346" t="s">
        <v>250</v>
      </c>
      <c r="D954" s="346" t="s">
        <v>229</v>
      </c>
      <c r="E954" s="338" t="s">
        <v>1176</v>
      </c>
      <c r="F954" s="346"/>
      <c r="G954" s="343">
        <f>'Пр.4 ведом.20'!G1007</f>
        <v>0</v>
      </c>
      <c r="H954" s="343">
        <f t="shared" si="71"/>
        <v>0</v>
      </c>
      <c r="I954" s="218"/>
    </row>
    <row r="955" spans="1:9" ht="31.5" hidden="1" x14ac:dyDescent="0.25">
      <c r="A955" s="31" t="s">
        <v>147</v>
      </c>
      <c r="B955" s="336">
        <v>908</v>
      </c>
      <c r="C955" s="346" t="s">
        <v>250</v>
      </c>
      <c r="D955" s="346" t="s">
        <v>229</v>
      </c>
      <c r="E955" s="338" t="s">
        <v>1176</v>
      </c>
      <c r="F955" s="346" t="s">
        <v>148</v>
      </c>
      <c r="G955" s="343">
        <f>'Пр.4 ведом.20'!G1008</f>
        <v>0</v>
      </c>
      <c r="H955" s="343">
        <f t="shared" si="71"/>
        <v>0</v>
      </c>
      <c r="I955" s="218"/>
    </row>
    <row r="956" spans="1:9" ht="31.5" hidden="1" x14ac:dyDescent="0.25">
      <c r="A956" s="31" t="s">
        <v>149</v>
      </c>
      <c r="B956" s="336">
        <v>908</v>
      </c>
      <c r="C956" s="346" t="s">
        <v>250</v>
      </c>
      <c r="D956" s="346" t="s">
        <v>229</v>
      </c>
      <c r="E956" s="338" t="s">
        <v>1176</v>
      </c>
      <c r="F956" s="346" t="s">
        <v>150</v>
      </c>
      <c r="G956" s="343">
        <f>'Пр.4 ведом.20'!G1009</f>
        <v>0</v>
      </c>
      <c r="H956" s="343">
        <f t="shared" si="71"/>
        <v>0</v>
      </c>
      <c r="I956" s="218"/>
    </row>
    <row r="957" spans="1:9" ht="31.5" hidden="1" x14ac:dyDescent="0.25">
      <c r="A957" s="232" t="s">
        <v>1174</v>
      </c>
      <c r="B957" s="337">
        <v>908</v>
      </c>
      <c r="C957" s="334" t="s">
        <v>250</v>
      </c>
      <c r="D957" s="334" t="s">
        <v>229</v>
      </c>
      <c r="E957" s="341" t="s">
        <v>1175</v>
      </c>
      <c r="F957" s="334"/>
      <c r="G957" s="339">
        <f>G958</f>
        <v>0</v>
      </c>
      <c r="H957" s="339">
        <f>H958</f>
        <v>0</v>
      </c>
      <c r="I957" s="218"/>
    </row>
    <row r="958" spans="1:9" ht="31.5" hidden="1" x14ac:dyDescent="0.25">
      <c r="A958" s="178" t="s">
        <v>547</v>
      </c>
      <c r="B958" s="336">
        <v>908</v>
      </c>
      <c r="C958" s="346" t="s">
        <v>250</v>
      </c>
      <c r="D958" s="346" t="s">
        <v>229</v>
      </c>
      <c r="E958" s="338" t="s">
        <v>1177</v>
      </c>
      <c r="F958" s="346"/>
      <c r="G958" s="343">
        <f>'Пр.4 ведом.20'!G1011</f>
        <v>0</v>
      </c>
      <c r="H958" s="343">
        <f t="shared" si="71"/>
        <v>0</v>
      </c>
      <c r="I958" s="218"/>
    </row>
    <row r="959" spans="1:9" ht="31.5" hidden="1" x14ac:dyDescent="0.25">
      <c r="A959" s="31" t="s">
        <v>147</v>
      </c>
      <c r="B959" s="336">
        <v>908</v>
      </c>
      <c r="C959" s="346" t="s">
        <v>250</v>
      </c>
      <c r="D959" s="346" t="s">
        <v>229</v>
      </c>
      <c r="E959" s="338" t="s">
        <v>1177</v>
      </c>
      <c r="F959" s="346" t="s">
        <v>148</v>
      </c>
      <c r="G959" s="343">
        <f>'Пр.4 ведом.20'!G1012</f>
        <v>0</v>
      </c>
      <c r="H959" s="343">
        <f t="shared" si="71"/>
        <v>0</v>
      </c>
      <c r="I959" s="218"/>
    </row>
    <row r="960" spans="1:9" ht="31.5" hidden="1" x14ac:dyDescent="0.25">
      <c r="A960" s="31" t="s">
        <v>149</v>
      </c>
      <c r="B960" s="336">
        <v>908</v>
      </c>
      <c r="C960" s="346" t="s">
        <v>250</v>
      </c>
      <c r="D960" s="346" t="s">
        <v>229</v>
      </c>
      <c r="E960" s="338" t="s">
        <v>1177</v>
      </c>
      <c r="F960" s="346" t="s">
        <v>150</v>
      </c>
      <c r="G960" s="343">
        <f>'Пр.4 ведом.20'!G1013</f>
        <v>0</v>
      </c>
      <c r="H960" s="343">
        <f t="shared" si="71"/>
        <v>0</v>
      </c>
      <c r="I960" s="218"/>
    </row>
    <row r="961" spans="1:9" ht="31.5" hidden="1" x14ac:dyDescent="0.25">
      <c r="A961" s="232" t="s">
        <v>1113</v>
      </c>
      <c r="B961" s="337">
        <v>908</v>
      </c>
      <c r="C961" s="334" t="s">
        <v>250</v>
      </c>
      <c r="D961" s="334" t="s">
        <v>229</v>
      </c>
      <c r="E961" s="341" t="s">
        <v>1114</v>
      </c>
      <c r="F961" s="334"/>
      <c r="G961" s="339">
        <f>G962</f>
        <v>0</v>
      </c>
      <c r="H961" s="339">
        <f>H962</f>
        <v>0</v>
      </c>
      <c r="I961" s="218"/>
    </row>
    <row r="962" spans="1:9" ht="15.75" hidden="1" x14ac:dyDescent="0.25">
      <c r="A962" s="178" t="s">
        <v>549</v>
      </c>
      <c r="B962" s="336">
        <v>908</v>
      </c>
      <c r="C962" s="346" t="s">
        <v>250</v>
      </c>
      <c r="D962" s="346" t="s">
        <v>229</v>
      </c>
      <c r="E962" s="338" t="s">
        <v>1112</v>
      </c>
      <c r="F962" s="346"/>
      <c r="G962" s="343">
        <f>'Пр.4 ведом.20'!G1015</f>
        <v>0</v>
      </c>
      <c r="H962" s="343">
        <f t="shared" si="71"/>
        <v>0</v>
      </c>
      <c r="I962" s="218"/>
    </row>
    <row r="963" spans="1:9" ht="31.5" hidden="1" x14ac:dyDescent="0.25">
      <c r="A963" s="342" t="s">
        <v>147</v>
      </c>
      <c r="B963" s="336">
        <v>908</v>
      </c>
      <c r="C963" s="346" t="s">
        <v>250</v>
      </c>
      <c r="D963" s="346" t="s">
        <v>229</v>
      </c>
      <c r="E963" s="338" t="s">
        <v>1112</v>
      </c>
      <c r="F963" s="346" t="s">
        <v>148</v>
      </c>
      <c r="G963" s="343">
        <f>'Пр.4 ведом.20'!G1016</f>
        <v>0</v>
      </c>
      <c r="H963" s="343">
        <f t="shared" si="71"/>
        <v>0</v>
      </c>
      <c r="I963" s="218"/>
    </row>
    <row r="964" spans="1:9" ht="31.5" hidden="1" x14ac:dyDescent="0.25">
      <c r="A964" s="342" t="s">
        <v>149</v>
      </c>
      <c r="B964" s="336">
        <v>908</v>
      </c>
      <c r="C964" s="346" t="s">
        <v>250</v>
      </c>
      <c r="D964" s="346" t="s">
        <v>229</v>
      </c>
      <c r="E964" s="338" t="s">
        <v>1112</v>
      </c>
      <c r="F964" s="346" t="s">
        <v>150</v>
      </c>
      <c r="G964" s="343">
        <f>'Пр.4 ведом.20'!G1017</f>
        <v>0</v>
      </c>
      <c r="H964" s="343">
        <f t="shared" si="71"/>
        <v>0</v>
      </c>
      <c r="I964" s="218"/>
    </row>
    <row r="965" spans="1:9" s="217" customFormat="1" ht="47.25" x14ac:dyDescent="0.25">
      <c r="A965" s="340" t="s">
        <v>1363</v>
      </c>
      <c r="B965" s="337">
        <v>908</v>
      </c>
      <c r="C965" s="334" t="s">
        <v>250</v>
      </c>
      <c r="D965" s="334" t="s">
        <v>229</v>
      </c>
      <c r="E965" s="341" t="s">
        <v>1362</v>
      </c>
      <c r="F965" s="334"/>
      <c r="G965" s="339">
        <f t="shared" ref="G965:H968" si="74">G966</f>
        <v>235</v>
      </c>
      <c r="H965" s="339">
        <f t="shared" si="74"/>
        <v>204</v>
      </c>
      <c r="I965" s="218"/>
    </row>
    <row r="966" spans="1:9" s="217" customFormat="1" ht="31.5" x14ac:dyDescent="0.25">
      <c r="A966" s="340" t="s">
        <v>1364</v>
      </c>
      <c r="B966" s="337">
        <v>908</v>
      </c>
      <c r="C966" s="334" t="s">
        <v>250</v>
      </c>
      <c r="D966" s="334" t="s">
        <v>229</v>
      </c>
      <c r="E966" s="341" t="s">
        <v>1365</v>
      </c>
      <c r="F966" s="334"/>
      <c r="G966" s="339">
        <f t="shared" si="74"/>
        <v>235</v>
      </c>
      <c r="H966" s="339">
        <f t="shared" si="74"/>
        <v>204</v>
      </c>
      <c r="I966" s="218"/>
    </row>
    <row r="967" spans="1:9" s="217" customFormat="1" ht="15.75" x14ac:dyDescent="0.25">
      <c r="A967" s="342" t="s">
        <v>553</v>
      </c>
      <c r="B967" s="336">
        <v>908</v>
      </c>
      <c r="C967" s="346" t="s">
        <v>250</v>
      </c>
      <c r="D967" s="346" t="s">
        <v>229</v>
      </c>
      <c r="E967" s="338" t="s">
        <v>1366</v>
      </c>
      <c r="F967" s="346"/>
      <c r="G967" s="343">
        <f t="shared" si="74"/>
        <v>235</v>
      </c>
      <c r="H967" s="343">
        <f t="shared" si="74"/>
        <v>204</v>
      </c>
      <c r="I967" s="218"/>
    </row>
    <row r="968" spans="1:9" s="217" customFormat="1" ht="31.5" x14ac:dyDescent="0.25">
      <c r="A968" s="342" t="s">
        <v>147</v>
      </c>
      <c r="B968" s="336">
        <v>908</v>
      </c>
      <c r="C968" s="346" t="s">
        <v>250</v>
      </c>
      <c r="D968" s="346" t="s">
        <v>229</v>
      </c>
      <c r="E968" s="338" t="s">
        <v>1366</v>
      </c>
      <c r="F968" s="346" t="s">
        <v>148</v>
      </c>
      <c r="G968" s="343">
        <f t="shared" si="74"/>
        <v>235</v>
      </c>
      <c r="H968" s="343">
        <f t="shared" si="74"/>
        <v>204</v>
      </c>
      <c r="I968" s="218"/>
    </row>
    <row r="969" spans="1:9" s="217" customFormat="1" ht="31.5" x14ac:dyDescent="0.25">
      <c r="A969" s="342" t="s">
        <v>149</v>
      </c>
      <c r="B969" s="336">
        <v>908</v>
      </c>
      <c r="C969" s="346" t="s">
        <v>250</v>
      </c>
      <c r="D969" s="346" t="s">
        <v>229</v>
      </c>
      <c r="E969" s="338" t="s">
        <v>1366</v>
      </c>
      <c r="F969" s="346" t="s">
        <v>150</v>
      </c>
      <c r="G969" s="343">
        <v>235</v>
      </c>
      <c r="H969" s="343">
        <v>204</v>
      </c>
      <c r="I969" s="218"/>
    </row>
    <row r="970" spans="1:9" ht="15.75" x14ac:dyDescent="0.25">
      <c r="A970" s="340" t="s">
        <v>557</v>
      </c>
      <c r="B970" s="337">
        <v>908</v>
      </c>
      <c r="C970" s="341" t="s">
        <v>250</v>
      </c>
      <c r="D970" s="341" t="s">
        <v>231</v>
      </c>
      <c r="E970" s="341"/>
      <c r="F970" s="341"/>
      <c r="G970" s="339">
        <f>G971+G976+G1014</f>
        <v>4134.5</v>
      </c>
      <c r="H970" s="339">
        <f>H971+H976+H1014</f>
        <v>11526.5</v>
      </c>
      <c r="I970" s="218"/>
    </row>
    <row r="971" spans="1:9" ht="15.75" x14ac:dyDescent="0.25">
      <c r="A971" s="340" t="s">
        <v>157</v>
      </c>
      <c r="B971" s="337">
        <v>908</v>
      </c>
      <c r="C971" s="341" t="s">
        <v>250</v>
      </c>
      <c r="D971" s="341" t="s">
        <v>231</v>
      </c>
      <c r="E971" s="341" t="s">
        <v>912</v>
      </c>
      <c r="F971" s="341"/>
      <c r="G971" s="339">
        <f t="shared" ref="G971:H974" si="75">G972</f>
        <v>390</v>
      </c>
      <c r="H971" s="339">
        <f t="shared" si="75"/>
        <v>390</v>
      </c>
      <c r="I971" s="218"/>
    </row>
    <row r="972" spans="1:9" ht="31.5" x14ac:dyDescent="0.25">
      <c r="A972" s="340" t="s">
        <v>916</v>
      </c>
      <c r="B972" s="337">
        <v>908</v>
      </c>
      <c r="C972" s="341" t="s">
        <v>250</v>
      </c>
      <c r="D972" s="341" t="s">
        <v>231</v>
      </c>
      <c r="E972" s="341" t="s">
        <v>911</v>
      </c>
      <c r="F972" s="341"/>
      <c r="G972" s="339">
        <f t="shared" si="75"/>
        <v>390</v>
      </c>
      <c r="H972" s="339">
        <f t="shared" si="75"/>
        <v>390</v>
      </c>
      <c r="I972" s="218"/>
    </row>
    <row r="973" spans="1:9" ht="15.75" x14ac:dyDescent="0.25">
      <c r="A973" s="342" t="s">
        <v>580</v>
      </c>
      <c r="B973" s="336">
        <v>908</v>
      </c>
      <c r="C973" s="338" t="s">
        <v>250</v>
      </c>
      <c r="D973" s="338" t="s">
        <v>231</v>
      </c>
      <c r="E973" s="338" t="s">
        <v>1261</v>
      </c>
      <c r="F973" s="338"/>
      <c r="G973" s="343">
        <f t="shared" si="75"/>
        <v>390</v>
      </c>
      <c r="H973" s="343">
        <f t="shared" si="75"/>
        <v>390</v>
      </c>
      <c r="I973" s="218"/>
    </row>
    <row r="974" spans="1:9" ht="31.5" x14ac:dyDescent="0.25">
      <c r="A974" s="342" t="s">
        <v>147</v>
      </c>
      <c r="B974" s="336">
        <v>908</v>
      </c>
      <c r="C974" s="338" t="s">
        <v>250</v>
      </c>
      <c r="D974" s="338" t="s">
        <v>231</v>
      </c>
      <c r="E974" s="338" t="s">
        <v>1261</v>
      </c>
      <c r="F974" s="338" t="s">
        <v>148</v>
      </c>
      <c r="G974" s="343">
        <f t="shared" si="75"/>
        <v>390</v>
      </c>
      <c r="H974" s="343">
        <f t="shared" si="75"/>
        <v>390</v>
      </c>
      <c r="I974" s="218"/>
    </row>
    <row r="975" spans="1:9" ht="31.5" x14ac:dyDescent="0.25">
      <c r="A975" s="342" t="s">
        <v>149</v>
      </c>
      <c r="B975" s="336">
        <v>908</v>
      </c>
      <c r="C975" s="338" t="s">
        <v>250</v>
      </c>
      <c r="D975" s="338" t="s">
        <v>231</v>
      </c>
      <c r="E975" s="338" t="s">
        <v>1261</v>
      </c>
      <c r="F975" s="338" t="s">
        <v>150</v>
      </c>
      <c r="G975" s="343">
        <f>390</f>
        <v>390</v>
      </c>
      <c r="H975" s="343">
        <f t="shared" si="71"/>
        <v>390</v>
      </c>
      <c r="I975" s="218"/>
    </row>
    <row r="976" spans="1:9" ht="47.25" x14ac:dyDescent="0.25">
      <c r="A976" s="340" t="s">
        <v>1436</v>
      </c>
      <c r="B976" s="337">
        <v>908</v>
      </c>
      <c r="C976" s="341" t="s">
        <v>250</v>
      </c>
      <c r="D976" s="341" t="s">
        <v>231</v>
      </c>
      <c r="E976" s="341" t="s">
        <v>559</v>
      </c>
      <c r="F976" s="341"/>
      <c r="G976" s="339">
        <f>G977+G991</f>
        <v>3244.5</v>
      </c>
      <c r="H976" s="339">
        <f>H977+H991</f>
        <v>10636.5</v>
      </c>
      <c r="I976" s="218"/>
    </row>
    <row r="977" spans="1:9" ht="47.25" x14ac:dyDescent="0.25">
      <c r="A977" s="340" t="s">
        <v>560</v>
      </c>
      <c r="B977" s="337">
        <v>908</v>
      </c>
      <c r="C977" s="341" t="s">
        <v>250</v>
      </c>
      <c r="D977" s="341" t="s">
        <v>231</v>
      </c>
      <c r="E977" s="341" t="s">
        <v>561</v>
      </c>
      <c r="F977" s="341"/>
      <c r="G977" s="339">
        <f>G978</f>
        <v>940</v>
      </c>
      <c r="H977" s="339">
        <f>H978</f>
        <v>940</v>
      </c>
      <c r="I977" s="218"/>
    </row>
    <row r="978" spans="1:9" ht="31.5" x14ac:dyDescent="0.25">
      <c r="A978" s="340" t="s">
        <v>1122</v>
      </c>
      <c r="B978" s="337">
        <v>908</v>
      </c>
      <c r="C978" s="341" t="s">
        <v>250</v>
      </c>
      <c r="D978" s="341" t="s">
        <v>231</v>
      </c>
      <c r="E978" s="341" t="s">
        <v>1120</v>
      </c>
      <c r="F978" s="341"/>
      <c r="G978" s="339">
        <f>G979+G982+G988</f>
        <v>940</v>
      </c>
      <c r="H978" s="339">
        <f>H979+H982+H988</f>
        <v>940</v>
      </c>
      <c r="I978" s="218"/>
    </row>
    <row r="979" spans="1:9" ht="15.75" x14ac:dyDescent="0.25">
      <c r="A979" s="342" t="s">
        <v>562</v>
      </c>
      <c r="B979" s="336">
        <v>908</v>
      </c>
      <c r="C979" s="338" t="s">
        <v>250</v>
      </c>
      <c r="D979" s="338" t="s">
        <v>231</v>
      </c>
      <c r="E979" s="338" t="s">
        <v>1121</v>
      </c>
      <c r="F979" s="338"/>
      <c r="G979" s="343">
        <f>G980</f>
        <v>90</v>
      </c>
      <c r="H979" s="343">
        <f>H980</f>
        <v>90</v>
      </c>
      <c r="I979" s="218"/>
    </row>
    <row r="980" spans="1:9" ht="31.5" x14ac:dyDescent="0.25">
      <c r="A980" s="342" t="s">
        <v>147</v>
      </c>
      <c r="B980" s="336">
        <v>908</v>
      </c>
      <c r="C980" s="338" t="s">
        <v>250</v>
      </c>
      <c r="D980" s="338" t="s">
        <v>231</v>
      </c>
      <c r="E980" s="338" t="s">
        <v>1121</v>
      </c>
      <c r="F980" s="338" t="s">
        <v>148</v>
      </c>
      <c r="G980" s="343">
        <f>G981</f>
        <v>90</v>
      </c>
      <c r="H980" s="343">
        <f>H981</f>
        <v>90</v>
      </c>
      <c r="I980" s="218"/>
    </row>
    <row r="981" spans="1:9" ht="31.5" x14ac:dyDescent="0.25">
      <c r="A981" s="342" t="s">
        <v>149</v>
      </c>
      <c r="B981" s="336">
        <v>908</v>
      </c>
      <c r="C981" s="338" t="s">
        <v>250</v>
      </c>
      <c r="D981" s="338" t="s">
        <v>231</v>
      </c>
      <c r="E981" s="338" t="s">
        <v>1121</v>
      </c>
      <c r="F981" s="338" t="s">
        <v>150</v>
      </c>
      <c r="G981" s="343">
        <f>90</f>
        <v>90</v>
      </c>
      <c r="H981" s="343">
        <f t="shared" si="71"/>
        <v>90</v>
      </c>
      <c r="I981" s="218"/>
    </row>
    <row r="982" spans="1:9" ht="15.75" x14ac:dyDescent="0.25">
      <c r="A982" s="342" t="s">
        <v>1287</v>
      </c>
      <c r="B982" s="336">
        <v>908</v>
      </c>
      <c r="C982" s="338" t="s">
        <v>250</v>
      </c>
      <c r="D982" s="338" t="s">
        <v>231</v>
      </c>
      <c r="E982" s="338" t="s">
        <v>1123</v>
      </c>
      <c r="F982" s="338"/>
      <c r="G982" s="343">
        <f>G983</f>
        <v>650</v>
      </c>
      <c r="H982" s="343">
        <f>H983</f>
        <v>650</v>
      </c>
      <c r="I982" s="218"/>
    </row>
    <row r="983" spans="1:9" ht="31.5" x14ac:dyDescent="0.25">
      <c r="A983" s="342" t="s">
        <v>147</v>
      </c>
      <c r="B983" s="336">
        <v>908</v>
      </c>
      <c r="C983" s="338" t="s">
        <v>250</v>
      </c>
      <c r="D983" s="338" t="s">
        <v>231</v>
      </c>
      <c r="E983" s="338" t="s">
        <v>1123</v>
      </c>
      <c r="F983" s="338" t="s">
        <v>148</v>
      </c>
      <c r="G983" s="343">
        <f>G984</f>
        <v>650</v>
      </c>
      <c r="H983" s="343">
        <f>H984</f>
        <v>650</v>
      </c>
      <c r="I983" s="218"/>
    </row>
    <row r="984" spans="1:9" ht="31.5" x14ac:dyDescent="0.25">
      <c r="A984" s="342" t="s">
        <v>149</v>
      </c>
      <c r="B984" s="336">
        <v>908</v>
      </c>
      <c r="C984" s="338" t="s">
        <v>250</v>
      </c>
      <c r="D984" s="338" t="s">
        <v>231</v>
      </c>
      <c r="E984" s="338" t="s">
        <v>1123</v>
      </c>
      <c r="F984" s="338" t="s">
        <v>150</v>
      </c>
      <c r="G984" s="343">
        <f>650</f>
        <v>650</v>
      </c>
      <c r="H984" s="343">
        <f t="shared" si="71"/>
        <v>650</v>
      </c>
      <c r="I984" s="218"/>
    </row>
    <row r="985" spans="1:9" ht="15.75" hidden="1" x14ac:dyDescent="0.25">
      <c r="A985" s="342" t="s">
        <v>151</v>
      </c>
      <c r="B985" s="336">
        <v>908</v>
      </c>
      <c r="C985" s="338" t="s">
        <v>250</v>
      </c>
      <c r="D985" s="338" t="s">
        <v>231</v>
      </c>
      <c r="E985" s="338" t="s">
        <v>1123</v>
      </c>
      <c r="F985" s="338" t="s">
        <v>161</v>
      </c>
      <c r="G985" s="343">
        <f>'Пр.4 ведом.20'!G1040</f>
        <v>0</v>
      </c>
      <c r="H985" s="343">
        <f t="shared" si="71"/>
        <v>0</v>
      </c>
      <c r="I985" s="218"/>
    </row>
    <row r="986" spans="1:9" ht="47.25" hidden="1" x14ac:dyDescent="0.25">
      <c r="A986" s="342" t="s">
        <v>882</v>
      </c>
      <c r="B986" s="336">
        <v>908</v>
      </c>
      <c r="C986" s="338" t="s">
        <v>250</v>
      </c>
      <c r="D986" s="338" t="s">
        <v>231</v>
      </c>
      <c r="E986" s="338" t="s">
        <v>1123</v>
      </c>
      <c r="F986" s="338" t="s">
        <v>163</v>
      </c>
      <c r="G986" s="343">
        <f>'Пр.4 ведом.20'!G1041</f>
        <v>0</v>
      </c>
      <c r="H986" s="343">
        <f t="shared" si="71"/>
        <v>0</v>
      </c>
      <c r="I986" s="218"/>
    </row>
    <row r="987" spans="1:9" ht="15.75" hidden="1" x14ac:dyDescent="0.25">
      <c r="A987" s="342" t="s">
        <v>727</v>
      </c>
      <c r="B987" s="336">
        <v>908</v>
      </c>
      <c r="C987" s="338" t="s">
        <v>250</v>
      </c>
      <c r="D987" s="338" t="s">
        <v>231</v>
      </c>
      <c r="E987" s="338" t="s">
        <v>1123</v>
      </c>
      <c r="F987" s="338" t="s">
        <v>154</v>
      </c>
      <c r="G987" s="343">
        <f>'Пр.4 ведом.20'!G1042</f>
        <v>0</v>
      </c>
      <c r="H987" s="343">
        <f t="shared" si="71"/>
        <v>0</v>
      </c>
      <c r="I987" s="218"/>
    </row>
    <row r="988" spans="1:9" ht="15.75" x14ac:dyDescent="0.25">
      <c r="A988" s="342" t="s">
        <v>566</v>
      </c>
      <c r="B988" s="336">
        <v>908</v>
      </c>
      <c r="C988" s="338" t="s">
        <v>250</v>
      </c>
      <c r="D988" s="338" t="s">
        <v>231</v>
      </c>
      <c r="E988" s="338" t="s">
        <v>1124</v>
      </c>
      <c r="F988" s="338"/>
      <c r="G988" s="343">
        <f>G989</f>
        <v>200</v>
      </c>
      <c r="H988" s="343">
        <f>H989</f>
        <v>200</v>
      </c>
      <c r="I988" s="218"/>
    </row>
    <row r="989" spans="1:9" ht="31.5" x14ac:dyDescent="0.25">
      <c r="A989" s="342" t="s">
        <v>147</v>
      </c>
      <c r="B989" s="336">
        <v>908</v>
      </c>
      <c r="C989" s="338" t="s">
        <v>250</v>
      </c>
      <c r="D989" s="338" t="s">
        <v>231</v>
      </c>
      <c r="E989" s="338" t="s">
        <v>1124</v>
      </c>
      <c r="F989" s="338" t="s">
        <v>148</v>
      </c>
      <c r="G989" s="343">
        <f>G990</f>
        <v>200</v>
      </c>
      <c r="H989" s="343">
        <f>H990</f>
        <v>200</v>
      </c>
      <c r="I989" s="218"/>
    </row>
    <row r="990" spans="1:9" ht="31.5" x14ac:dyDescent="0.25">
      <c r="A990" s="342" t="s">
        <v>149</v>
      </c>
      <c r="B990" s="336">
        <v>908</v>
      </c>
      <c r="C990" s="338" t="s">
        <v>250</v>
      </c>
      <c r="D990" s="338" t="s">
        <v>231</v>
      </c>
      <c r="E990" s="338" t="s">
        <v>1124</v>
      </c>
      <c r="F990" s="338" t="s">
        <v>150</v>
      </c>
      <c r="G990" s="343">
        <f>200</f>
        <v>200</v>
      </c>
      <c r="H990" s="343">
        <f t="shared" ref="H990:H1048" si="76">G990</f>
        <v>200</v>
      </c>
      <c r="I990" s="218"/>
    </row>
    <row r="991" spans="1:9" ht="47.25" x14ac:dyDescent="0.25">
      <c r="A991" s="340" t="s">
        <v>1437</v>
      </c>
      <c r="B991" s="337">
        <v>908</v>
      </c>
      <c r="C991" s="341" t="s">
        <v>250</v>
      </c>
      <c r="D991" s="341" t="s">
        <v>231</v>
      </c>
      <c r="E991" s="341" t="s">
        <v>569</v>
      </c>
      <c r="F991" s="341"/>
      <c r="G991" s="339">
        <f>G992+G1007</f>
        <v>2304.5</v>
      </c>
      <c r="H991" s="339">
        <f>H992+H1007</f>
        <v>9696.5</v>
      </c>
      <c r="I991" s="218"/>
    </row>
    <row r="992" spans="1:9" ht="31.5" x14ac:dyDescent="0.25">
      <c r="A992" s="340" t="s">
        <v>1140</v>
      </c>
      <c r="B992" s="337">
        <v>908</v>
      </c>
      <c r="C992" s="341" t="s">
        <v>250</v>
      </c>
      <c r="D992" s="341" t="s">
        <v>231</v>
      </c>
      <c r="E992" s="341" t="s">
        <v>1125</v>
      </c>
      <c r="F992" s="341"/>
      <c r="G992" s="339">
        <f>G1004+G993+G996+G1001</f>
        <v>390</v>
      </c>
      <c r="H992" s="339">
        <f>H1004+H993+H996+H1001</f>
        <v>390</v>
      </c>
      <c r="I992" s="218"/>
    </row>
    <row r="993" spans="1:9" ht="15.75" x14ac:dyDescent="0.25">
      <c r="A993" s="342" t="s">
        <v>571</v>
      </c>
      <c r="B993" s="336">
        <v>908</v>
      </c>
      <c r="C993" s="338" t="s">
        <v>250</v>
      </c>
      <c r="D993" s="338" t="s">
        <v>231</v>
      </c>
      <c r="E993" s="338" t="s">
        <v>1127</v>
      </c>
      <c r="F993" s="338"/>
      <c r="G993" s="343">
        <f>G994</f>
        <v>4</v>
      </c>
      <c r="H993" s="343">
        <f>H994</f>
        <v>4</v>
      </c>
      <c r="I993" s="218"/>
    </row>
    <row r="994" spans="1:9" ht="31.5" x14ac:dyDescent="0.25">
      <c r="A994" s="342" t="s">
        <v>147</v>
      </c>
      <c r="B994" s="336">
        <v>908</v>
      </c>
      <c r="C994" s="338" t="s">
        <v>250</v>
      </c>
      <c r="D994" s="338" t="s">
        <v>231</v>
      </c>
      <c r="E994" s="338" t="s">
        <v>1127</v>
      </c>
      <c r="F994" s="338" t="s">
        <v>148</v>
      </c>
      <c r="G994" s="343">
        <f>G995</f>
        <v>4</v>
      </c>
      <c r="H994" s="343">
        <f>H995</f>
        <v>4</v>
      </c>
      <c r="I994" s="218"/>
    </row>
    <row r="995" spans="1:9" ht="31.5" x14ac:dyDescent="0.25">
      <c r="A995" s="342" t="s">
        <v>149</v>
      </c>
      <c r="B995" s="336">
        <v>908</v>
      </c>
      <c r="C995" s="338" t="s">
        <v>250</v>
      </c>
      <c r="D995" s="338" t="s">
        <v>231</v>
      </c>
      <c r="E995" s="338" t="s">
        <v>1127</v>
      </c>
      <c r="F995" s="338" t="s">
        <v>150</v>
      </c>
      <c r="G995" s="343">
        <f>4</f>
        <v>4</v>
      </c>
      <c r="H995" s="343">
        <f t="shared" si="76"/>
        <v>4</v>
      </c>
      <c r="I995" s="218"/>
    </row>
    <row r="996" spans="1:9" ht="47.25" x14ac:dyDescent="0.25">
      <c r="A996" s="45" t="s">
        <v>573</v>
      </c>
      <c r="B996" s="336">
        <v>908</v>
      </c>
      <c r="C996" s="338" t="s">
        <v>250</v>
      </c>
      <c r="D996" s="338" t="s">
        <v>231</v>
      </c>
      <c r="E996" s="338" t="s">
        <v>1128</v>
      </c>
      <c r="F996" s="338"/>
      <c r="G996" s="343">
        <f>G997+G999</f>
        <v>375</v>
      </c>
      <c r="H996" s="343">
        <f>H997+H999</f>
        <v>375</v>
      </c>
      <c r="I996" s="218"/>
    </row>
    <row r="997" spans="1:9" ht="31.5" x14ac:dyDescent="0.25">
      <c r="A997" s="342" t="s">
        <v>147</v>
      </c>
      <c r="B997" s="336">
        <v>908</v>
      </c>
      <c r="C997" s="338" t="s">
        <v>250</v>
      </c>
      <c r="D997" s="338" t="s">
        <v>231</v>
      </c>
      <c r="E997" s="338" t="s">
        <v>1128</v>
      </c>
      <c r="F997" s="338" t="s">
        <v>148</v>
      </c>
      <c r="G997" s="343">
        <f>G998</f>
        <v>300</v>
      </c>
      <c r="H997" s="343">
        <f>H998</f>
        <v>300</v>
      </c>
      <c r="I997" s="218"/>
    </row>
    <row r="998" spans="1:9" ht="31.5" x14ac:dyDescent="0.25">
      <c r="A998" s="342" t="s">
        <v>149</v>
      </c>
      <c r="B998" s="336">
        <v>908</v>
      </c>
      <c r="C998" s="338" t="s">
        <v>250</v>
      </c>
      <c r="D998" s="338" t="s">
        <v>231</v>
      </c>
      <c r="E998" s="338" t="s">
        <v>1128</v>
      </c>
      <c r="F998" s="338" t="s">
        <v>150</v>
      </c>
      <c r="G998" s="343">
        <f>300</f>
        <v>300</v>
      </c>
      <c r="H998" s="343">
        <f t="shared" si="76"/>
        <v>300</v>
      </c>
      <c r="I998" s="218"/>
    </row>
    <row r="999" spans="1:9" ht="15.75" x14ac:dyDescent="0.25">
      <c r="A999" s="342" t="s">
        <v>151</v>
      </c>
      <c r="B999" s="336">
        <v>908</v>
      </c>
      <c r="C999" s="338" t="s">
        <v>250</v>
      </c>
      <c r="D999" s="338" t="s">
        <v>231</v>
      </c>
      <c r="E999" s="338" t="s">
        <v>1128</v>
      </c>
      <c r="F999" s="338" t="s">
        <v>161</v>
      </c>
      <c r="G999" s="343">
        <f>G1000</f>
        <v>75</v>
      </c>
      <c r="H999" s="343">
        <f>H1000</f>
        <v>75</v>
      </c>
      <c r="I999" s="218"/>
    </row>
    <row r="1000" spans="1:9" ht="15.75" x14ac:dyDescent="0.25">
      <c r="A1000" s="342" t="s">
        <v>727</v>
      </c>
      <c r="B1000" s="336">
        <v>908</v>
      </c>
      <c r="C1000" s="338" t="s">
        <v>250</v>
      </c>
      <c r="D1000" s="338" t="s">
        <v>231</v>
      </c>
      <c r="E1000" s="338" t="s">
        <v>1128</v>
      </c>
      <c r="F1000" s="338" t="s">
        <v>154</v>
      </c>
      <c r="G1000" s="343">
        <f>75</f>
        <v>75</v>
      </c>
      <c r="H1000" s="343">
        <f t="shared" si="76"/>
        <v>75</v>
      </c>
      <c r="I1000" s="218"/>
    </row>
    <row r="1001" spans="1:9" ht="25.5" hidden="1" customHeight="1" x14ac:dyDescent="0.25">
      <c r="A1001" s="45" t="s">
        <v>575</v>
      </c>
      <c r="B1001" s="336">
        <v>908</v>
      </c>
      <c r="C1001" s="338" t="s">
        <v>250</v>
      </c>
      <c r="D1001" s="338" t="s">
        <v>231</v>
      </c>
      <c r="E1001" s="338" t="s">
        <v>1129</v>
      </c>
      <c r="F1001" s="338"/>
      <c r="G1001" s="343">
        <f>'Пр.4 ведом.20'!G1056</f>
        <v>0</v>
      </c>
      <c r="H1001" s="343">
        <f t="shared" si="76"/>
        <v>0</v>
      </c>
      <c r="I1001" s="218"/>
    </row>
    <row r="1002" spans="1:9" ht="31.5" hidden="1" x14ac:dyDescent="0.25">
      <c r="A1002" s="342" t="s">
        <v>147</v>
      </c>
      <c r="B1002" s="336">
        <v>908</v>
      </c>
      <c r="C1002" s="338" t="s">
        <v>250</v>
      </c>
      <c r="D1002" s="338" t="s">
        <v>231</v>
      </c>
      <c r="E1002" s="338" t="s">
        <v>1129</v>
      </c>
      <c r="F1002" s="338" t="s">
        <v>148</v>
      </c>
      <c r="G1002" s="343">
        <f>'Пр.4 ведом.20'!G1057</f>
        <v>0</v>
      </c>
      <c r="H1002" s="343">
        <f t="shared" si="76"/>
        <v>0</v>
      </c>
      <c r="I1002" s="218"/>
    </row>
    <row r="1003" spans="1:9" ht="31.5" hidden="1" x14ac:dyDescent="0.25">
      <c r="A1003" s="342" t="s">
        <v>149</v>
      </c>
      <c r="B1003" s="336">
        <v>908</v>
      </c>
      <c r="C1003" s="338" t="s">
        <v>250</v>
      </c>
      <c r="D1003" s="338" t="s">
        <v>231</v>
      </c>
      <c r="E1003" s="338" t="s">
        <v>1129</v>
      </c>
      <c r="F1003" s="338" t="s">
        <v>150</v>
      </c>
      <c r="G1003" s="343">
        <f>0</f>
        <v>0</v>
      </c>
      <c r="H1003" s="343">
        <f t="shared" si="76"/>
        <v>0</v>
      </c>
      <c r="I1003" s="218"/>
    </row>
    <row r="1004" spans="1:9" s="217" customFormat="1" ht="31.5" x14ac:dyDescent="0.25">
      <c r="A1004" s="244" t="s">
        <v>1289</v>
      </c>
      <c r="B1004" s="336">
        <v>908</v>
      </c>
      <c r="C1004" s="338" t="s">
        <v>250</v>
      </c>
      <c r="D1004" s="338" t="s">
        <v>231</v>
      </c>
      <c r="E1004" s="338" t="s">
        <v>1290</v>
      </c>
      <c r="F1004" s="338"/>
      <c r="G1004" s="343">
        <f>G1005</f>
        <v>11</v>
      </c>
      <c r="H1004" s="343">
        <f>H1005</f>
        <v>11</v>
      </c>
      <c r="I1004" s="218"/>
    </row>
    <row r="1005" spans="1:9" s="217" customFormat="1" ht="31.5" x14ac:dyDescent="0.25">
      <c r="A1005" s="342" t="s">
        <v>147</v>
      </c>
      <c r="B1005" s="336">
        <v>908</v>
      </c>
      <c r="C1005" s="338" t="s">
        <v>250</v>
      </c>
      <c r="D1005" s="338" t="s">
        <v>231</v>
      </c>
      <c r="E1005" s="338" t="s">
        <v>1290</v>
      </c>
      <c r="F1005" s="338" t="s">
        <v>148</v>
      </c>
      <c r="G1005" s="343">
        <f>G1006</f>
        <v>11</v>
      </c>
      <c r="H1005" s="343">
        <f>H1006</f>
        <v>11</v>
      </c>
      <c r="I1005" s="218"/>
    </row>
    <row r="1006" spans="1:9" s="217" customFormat="1" ht="31.5" x14ac:dyDescent="0.25">
      <c r="A1006" s="342" t="s">
        <v>149</v>
      </c>
      <c r="B1006" s="336">
        <v>908</v>
      </c>
      <c r="C1006" s="338" t="s">
        <v>250</v>
      </c>
      <c r="D1006" s="338" t="s">
        <v>231</v>
      </c>
      <c r="E1006" s="338" t="s">
        <v>1290</v>
      </c>
      <c r="F1006" s="338" t="s">
        <v>150</v>
      </c>
      <c r="G1006" s="343">
        <f>11</f>
        <v>11</v>
      </c>
      <c r="H1006" s="343">
        <f>G1006</f>
        <v>11</v>
      </c>
      <c r="I1006" s="218"/>
    </row>
    <row r="1007" spans="1:9" ht="31.5" x14ac:dyDescent="0.25">
      <c r="A1007" s="340" t="s">
        <v>950</v>
      </c>
      <c r="B1007" s="337">
        <v>908</v>
      </c>
      <c r="C1007" s="341" t="s">
        <v>250</v>
      </c>
      <c r="D1007" s="341" t="s">
        <v>231</v>
      </c>
      <c r="E1007" s="341" t="s">
        <v>1130</v>
      </c>
      <c r="F1007" s="341"/>
      <c r="G1007" s="339">
        <f>G1008+G1011</f>
        <v>1914.5</v>
      </c>
      <c r="H1007" s="339">
        <f>H1008+H1011</f>
        <v>9306.5</v>
      </c>
      <c r="I1007" s="218"/>
    </row>
    <row r="1008" spans="1:9" ht="31.5" hidden="1" x14ac:dyDescent="0.25">
      <c r="A1008" s="342" t="s">
        <v>707</v>
      </c>
      <c r="B1008" s="336">
        <v>908</v>
      </c>
      <c r="C1008" s="338" t="s">
        <v>250</v>
      </c>
      <c r="D1008" s="338" t="s">
        <v>231</v>
      </c>
      <c r="E1008" s="338" t="s">
        <v>1131</v>
      </c>
      <c r="F1008" s="338"/>
      <c r="G1008" s="343">
        <f>'Пр.4 ведом.20'!G1063</f>
        <v>0</v>
      </c>
      <c r="H1008" s="343">
        <f t="shared" si="76"/>
        <v>0</v>
      </c>
      <c r="I1008" s="218"/>
    </row>
    <row r="1009" spans="1:9" ht="31.5" hidden="1" x14ac:dyDescent="0.25">
      <c r="A1009" s="342" t="s">
        <v>147</v>
      </c>
      <c r="B1009" s="336">
        <v>908</v>
      </c>
      <c r="C1009" s="338" t="s">
        <v>250</v>
      </c>
      <c r="D1009" s="338" t="s">
        <v>231</v>
      </c>
      <c r="E1009" s="338" t="s">
        <v>1131</v>
      </c>
      <c r="F1009" s="338" t="s">
        <v>148</v>
      </c>
      <c r="G1009" s="343">
        <f>'Пр.4 ведом.20'!G1064</f>
        <v>0</v>
      </c>
      <c r="H1009" s="343">
        <f t="shared" si="76"/>
        <v>0</v>
      </c>
      <c r="I1009" s="218"/>
    </row>
    <row r="1010" spans="1:9" ht="31.5" hidden="1" x14ac:dyDescent="0.25">
      <c r="A1010" s="342" t="s">
        <v>149</v>
      </c>
      <c r="B1010" s="336">
        <v>908</v>
      </c>
      <c r="C1010" s="338" t="s">
        <v>250</v>
      </c>
      <c r="D1010" s="338" t="s">
        <v>231</v>
      </c>
      <c r="E1010" s="338" t="s">
        <v>1131</v>
      </c>
      <c r="F1010" s="338" t="s">
        <v>150</v>
      </c>
      <c r="G1010" s="343">
        <f>'Пр.4 ведом.20'!G1065</f>
        <v>0</v>
      </c>
      <c r="H1010" s="343">
        <f t="shared" si="76"/>
        <v>0</v>
      </c>
      <c r="I1010" s="218"/>
    </row>
    <row r="1011" spans="1:9" ht="63" x14ac:dyDescent="0.25">
      <c r="A1011" s="342" t="s">
        <v>1249</v>
      </c>
      <c r="B1011" s="336">
        <v>908</v>
      </c>
      <c r="C1011" s="338" t="s">
        <v>250</v>
      </c>
      <c r="D1011" s="338" t="s">
        <v>231</v>
      </c>
      <c r="E1011" s="338" t="s">
        <v>1250</v>
      </c>
      <c r="F1011" s="338"/>
      <c r="G1011" s="343">
        <f>G1012</f>
        <v>1914.5</v>
      </c>
      <c r="H1011" s="343">
        <f>H1012</f>
        <v>9306.5</v>
      </c>
      <c r="I1011" s="218"/>
    </row>
    <row r="1012" spans="1:9" ht="31.5" x14ac:dyDescent="0.25">
      <c r="A1012" s="342" t="s">
        <v>147</v>
      </c>
      <c r="B1012" s="336">
        <v>908</v>
      </c>
      <c r="C1012" s="338" t="s">
        <v>250</v>
      </c>
      <c r="D1012" s="338" t="s">
        <v>231</v>
      </c>
      <c r="E1012" s="338" t="s">
        <v>1250</v>
      </c>
      <c r="F1012" s="338" t="s">
        <v>148</v>
      </c>
      <c r="G1012" s="343">
        <f>G1013</f>
        <v>1914.5</v>
      </c>
      <c r="H1012" s="343">
        <f>H1013</f>
        <v>9306.5</v>
      </c>
      <c r="I1012" s="218"/>
    </row>
    <row r="1013" spans="1:9" ht="31.5" x14ac:dyDescent="0.25">
      <c r="A1013" s="342" t="s">
        <v>149</v>
      </c>
      <c r="B1013" s="336">
        <v>908</v>
      </c>
      <c r="C1013" s="338" t="s">
        <v>250</v>
      </c>
      <c r="D1013" s="338" t="s">
        <v>231</v>
      </c>
      <c r="E1013" s="338" t="s">
        <v>1250</v>
      </c>
      <c r="F1013" s="338" t="s">
        <v>150</v>
      </c>
      <c r="G1013" s="343">
        <f>1914.5</f>
        <v>1914.5</v>
      </c>
      <c r="H1013" s="343">
        <f>1914.5+7392</f>
        <v>9306.5</v>
      </c>
      <c r="I1013" s="218"/>
    </row>
    <row r="1014" spans="1:9" ht="63" x14ac:dyDescent="0.25">
      <c r="A1014" s="340" t="s">
        <v>823</v>
      </c>
      <c r="B1014" s="337">
        <v>908</v>
      </c>
      <c r="C1014" s="341" t="s">
        <v>250</v>
      </c>
      <c r="D1014" s="341" t="s">
        <v>231</v>
      </c>
      <c r="E1014" s="341" t="s">
        <v>734</v>
      </c>
      <c r="F1014" s="341"/>
      <c r="G1014" s="339">
        <f t="shared" ref="G1014:H1017" si="77">G1015</f>
        <v>500</v>
      </c>
      <c r="H1014" s="339">
        <f t="shared" si="77"/>
        <v>500</v>
      </c>
      <c r="I1014" s="218"/>
    </row>
    <row r="1015" spans="1:9" ht="31.5" x14ac:dyDescent="0.25">
      <c r="A1015" s="340" t="s">
        <v>1245</v>
      </c>
      <c r="B1015" s="337">
        <v>908</v>
      </c>
      <c r="C1015" s="341" t="s">
        <v>250</v>
      </c>
      <c r="D1015" s="341" t="s">
        <v>231</v>
      </c>
      <c r="E1015" s="341" t="s">
        <v>1288</v>
      </c>
      <c r="F1015" s="341"/>
      <c r="G1015" s="339">
        <f t="shared" si="77"/>
        <v>500</v>
      </c>
      <c r="H1015" s="339">
        <f t="shared" si="77"/>
        <v>500</v>
      </c>
      <c r="I1015" s="218"/>
    </row>
    <row r="1016" spans="1:9" ht="47.25" x14ac:dyDescent="0.25">
      <c r="A1016" s="80" t="s">
        <v>710</v>
      </c>
      <c r="B1016" s="336">
        <v>908</v>
      </c>
      <c r="C1016" s="338" t="s">
        <v>250</v>
      </c>
      <c r="D1016" s="338" t="s">
        <v>231</v>
      </c>
      <c r="E1016" s="338" t="s">
        <v>881</v>
      </c>
      <c r="F1016" s="338"/>
      <c r="G1016" s="343">
        <f t="shared" si="77"/>
        <v>500</v>
      </c>
      <c r="H1016" s="343">
        <f t="shared" si="77"/>
        <v>500</v>
      </c>
      <c r="I1016" s="218"/>
    </row>
    <row r="1017" spans="1:9" ht="31.5" x14ac:dyDescent="0.25">
      <c r="A1017" s="342" t="s">
        <v>147</v>
      </c>
      <c r="B1017" s="336">
        <v>908</v>
      </c>
      <c r="C1017" s="338" t="s">
        <v>250</v>
      </c>
      <c r="D1017" s="338" t="s">
        <v>231</v>
      </c>
      <c r="E1017" s="338" t="s">
        <v>881</v>
      </c>
      <c r="F1017" s="338" t="s">
        <v>148</v>
      </c>
      <c r="G1017" s="343">
        <f t="shared" si="77"/>
        <v>500</v>
      </c>
      <c r="H1017" s="343">
        <f t="shared" si="77"/>
        <v>500</v>
      </c>
      <c r="I1017" s="218"/>
    </row>
    <row r="1018" spans="1:9" ht="31.5" x14ac:dyDescent="0.25">
      <c r="A1018" s="342" t="s">
        <v>149</v>
      </c>
      <c r="B1018" s="336">
        <v>908</v>
      </c>
      <c r="C1018" s="338" t="s">
        <v>250</v>
      </c>
      <c r="D1018" s="338" t="s">
        <v>231</v>
      </c>
      <c r="E1018" s="338" t="s">
        <v>881</v>
      </c>
      <c r="F1018" s="338" t="s">
        <v>150</v>
      </c>
      <c r="G1018" s="343">
        <f>500</f>
        <v>500</v>
      </c>
      <c r="H1018" s="343">
        <f t="shared" si="76"/>
        <v>500</v>
      </c>
      <c r="I1018" s="218"/>
    </row>
    <row r="1019" spans="1:9" ht="31.5" x14ac:dyDescent="0.25">
      <c r="A1019" s="340" t="s">
        <v>585</v>
      </c>
      <c r="B1019" s="337">
        <v>908</v>
      </c>
      <c r="C1019" s="341" t="s">
        <v>250</v>
      </c>
      <c r="D1019" s="341" t="s">
        <v>250</v>
      </c>
      <c r="E1019" s="341"/>
      <c r="F1019" s="341"/>
      <c r="G1019" s="339">
        <f>G1020+G1032+G1049</f>
        <v>22307</v>
      </c>
      <c r="H1019" s="339">
        <f>H1020+H1032+H1049</f>
        <v>22307</v>
      </c>
      <c r="I1019" s="218"/>
    </row>
    <row r="1020" spans="1:9" ht="31.5" x14ac:dyDescent="0.25">
      <c r="A1020" s="340" t="s">
        <v>990</v>
      </c>
      <c r="B1020" s="337">
        <v>908</v>
      </c>
      <c r="C1020" s="341" t="s">
        <v>250</v>
      </c>
      <c r="D1020" s="341" t="s">
        <v>250</v>
      </c>
      <c r="E1020" s="341" t="s">
        <v>904</v>
      </c>
      <c r="F1020" s="341"/>
      <c r="G1020" s="339">
        <f>G1021</f>
        <v>11546</v>
      </c>
      <c r="H1020" s="339">
        <f>H1021</f>
        <v>11546</v>
      </c>
      <c r="I1020" s="218"/>
    </row>
    <row r="1021" spans="1:9" ht="15.75" x14ac:dyDescent="0.25">
      <c r="A1021" s="340" t="s">
        <v>991</v>
      </c>
      <c r="B1021" s="337">
        <v>908</v>
      </c>
      <c r="C1021" s="341" t="s">
        <v>250</v>
      </c>
      <c r="D1021" s="341" t="s">
        <v>250</v>
      </c>
      <c r="E1021" s="341" t="s">
        <v>905</v>
      </c>
      <c r="F1021" s="341"/>
      <c r="G1021" s="339">
        <f>G1022+G1029</f>
        <v>11546</v>
      </c>
      <c r="H1021" s="339">
        <f>H1022+H1029</f>
        <v>11546</v>
      </c>
      <c r="I1021" s="218"/>
    </row>
    <row r="1022" spans="1:9" ht="31.5" x14ac:dyDescent="0.25">
      <c r="A1022" s="342" t="s">
        <v>967</v>
      </c>
      <c r="B1022" s="336">
        <v>908</v>
      </c>
      <c r="C1022" s="338" t="s">
        <v>250</v>
      </c>
      <c r="D1022" s="338" t="s">
        <v>250</v>
      </c>
      <c r="E1022" s="338" t="s">
        <v>906</v>
      </c>
      <c r="F1022" s="338"/>
      <c r="G1022" s="343">
        <f>G1023+G1025+G1027</f>
        <v>11210</v>
      </c>
      <c r="H1022" s="343">
        <f>H1023+H1025+H1027</f>
        <v>11210</v>
      </c>
      <c r="I1022" s="218"/>
    </row>
    <row r="1023" spans="1:9" ht="78.75" x14ac:dyDescent="0.25">
      <c r="A1023" s="342" t="s">
        <v>143</v>
      </c>
      <c r="B1023" s="336">
        <v>908</v>
      </c>
      <c r="C1023" s="338" t="s">
        <v>250</v>
      </c>
      <c r="D1023" s="338" t="s">
        <v>250</v>
      </c>
      <c r="E1023" s="338" t="s">
        <v>906</v>
      </c>
      <c r="F1023" s="338" t="s">
        <v>144</v>
      </c>
      <c r="G1023" s="343">
        <f>G1024</f>
        <v>11138</v>
      </c>
      <c r="H1023" s="343">
        <f>H1024</f>
        <v>11138</v>
      </c>
      <c r="I1023" s="218"/>
    </row>
    <row r="1024" spans="1:9" ht="31.5" x14ac:dyDescent="0.25">
      <c r="A1024" s="342" t="s">
        <v>145</v>
      </c>
      <c r="B1024" s="336">
        <v>908</v>
      </c>
      <c r="C1024" s="338" t="s">
        <v>250</v>
      </c>
      <c r="D1024" s="338" t="s">
        <v>250</v>
      </c>
      <c r="E1024" s="338" t="s">
        <v>906</v>
      </c>
      <c r="F1024" s="338" t="s">
        <v>146</v>
      </c>
      <c r="G1024" s="343">
        <f>11138</f>
        <v>11138</v>
      </c>
      <c r="H1024" s="343">
        <f t="shared" si="76"/>
        <v>11138</v>
      </c>
      <c r="I1024" s="218"/>
    </row>
    <row r="1025" spans="1:9" ht="31.5" x14ac:dyDescent="0.25">
      <c r="A1025" s="342" t="s">
        <v>147</v>
      </c>
      <c r="B1025" s="336">
        <v>908</v>
      </c>
      <c r="C1025" s="338" t="s">
        <v>250</v>
      </c>
      <c r="D1025" s="338" t="s">
        <v>250</v>
      </c>
      <c r="E1025" s="338" t="s">
        <v>906</v>
      </c>
      <c r="F1025" s="338" t="s">
        <v>148</v>
      </c>
      <c r="G1025" s="343">
        <f>G1026</f>
        <v>25</v>
      </c>
      <c r="H1025" s="343">
        <f>H1026</f>
        <v>25</v>
      </c>
      <c r="I1025" s="218"/>
    </row>
    <row r="1026" spans="1:9" ht="31.5" x14ac:dyDescent="0.25">
      <c r="A1026" s="342" t="s">
        <v>149</v>
      </c>
      <c r="B1026" s="336">
        <v>908</v>
      </c>
      <c r="C1026" s="338" t="s">
        <v>250</v>
      </c>
      <c r="D1026" s="338" t="s">
        <v>250</v>
      </c>
      <c r="E1026" s="338" t="s">
        <v>906</v>
      </c>
      <c r="F1026" s="338" t="s">
        <v>150</v>
      </c>
      <c r="G1026" s="343">
        <f>25</f>
        <v>25</v>
      </c>
      <c r="H1026" s="343">
        <f t="shared" si="76"/>
        <v>25</v>
      </c>
      <c r="I1026" s="218"/>
    </row>
    <row r="1027" spans="1:9" ht="15.75" x14ac:dyDescent="0.25">
      <c r="A1027" s="342" t="s">
        <v>151</v>
      </c>
      <c r="B1027" s="336">
        <v>908</v>
      </c>
      <c r="C1027" s="338" t="s">
        <v>250</v>
      </c>
      <c r="D1027" s="338" t="s">
        <v>250</v>
      </c>
      <c r="E1027" s="338" t="s">
        <v>906</v>
      </c>
      <c r="F1027" s="338" t="s">
        <v>161</v>
      </c>
      <c r="G1027" s="343">
        <f>G1028</f>
        <v>47</v>
      </c>
      <c r="H1027" s="343">
        <f>H1028</f>
        <v>47</v>
      </c>
      <c r="I1027" s="218"/>
    </row>
    <row r="1028" spans="1:9" ht="15.75" x14ac:dyDescent="0.25">
      <c r="A1028" s="342" t="s">
        <v>584</v>
      </c>
      <c r="B1028" s="336">
        <v>908</v>
      </c>
      <c r="C1028" s="338" t="s">
        <v>250</v>
      </c>
      <c r="D1028" s="338" t="s">
        <v>250</v>
      </c>
      <c r="E1028" s="338" t="s">
        <v>906</v>
      </c>
      <c r="F1028" s="338" t="s">
        <v>154</v>
      </c>
      <c r="G1028" s="343">
        <f>47</f>
        <v>47</v>
      </c>
      <c r="H1028" s="343">
        <f t="shared" si="76"/>
        <v>47</v>
      </c>
      <c r="I1028" s="218"/>
    </row>
    <row r="1029" spans="1:9" ht="47.25" x14ac:dyDescent="0.25">
      <c r="A1029" s="342" t="s">
        <v>885</v>
      </c>
      <c r="B1029" s="336">
        <v>908</v>
      </c>
      <c r="C1029" s="338" t="s">
        <v>250</v>
      </c>
      <c r="D1029" s="338" t="s">
        <v>250</v>
      </c>
      <c r="E1029" s="338" t="s">
        <v>908</v>
      </c>
      <c r="F1029" s="338"/>
      <c r="G1029" s="343">
        <f>G1030</f>
        <v>336</v>
      </c>
      <c r="H1029" s="343">
        <f>H1030</f>
        <v>336</v>
      </c>
      <c r="I1029" s="218"/>
    </row>
    <row r="1030" spans="1:9" ht="78.75" x14ac:dyDescent="0.25">
      <c r="A1030" s="342" t="s">
        <v>143</v>
      </c>
      <c r="B1030" s="336">
        <v>908</v>
      </c>
      <c r="C1030" s="338" t="s">
        <v>250</v>
      </c>
      <c r="D1030" s="338" t="s">
        <v>250</v>
      </c>
      <c r="E1030" s="338" t="s">
        <v>908</v>
      </c>
      <c r="F1030" s="338" t="s">
        <v>144</v>
      </c>
      <c r="G1030" s="343">
        <f>G1031</f>
        <v>336</v>
      </c>
      <c r="H1030" s="343">
        <f>H1031</f>
        <v>336</v>
      </c>
      <c r="I1030" s="218"/>
    </row>
    <row r="1031" spans="1:9" ht="31.5" x14ac:dyDescent="0.25">
      <c r="A1031" s="342" t="s">
        <v>145</v>
      </c>
      <c r="B1031" s="336">
        <v>908</v>
      </c>
      <c r="C1031" s="338" t="s">
        <v>250</v>
      </c>
      <c r="D1031" s="338" t="s">
        <v>250</v>
      </c>
      <c r="E1031" s="338" t="s">
        <v>908</v>
      </c>
      <c r="F1031" s="338" t="s">
        <v>146</v>
      </c>
      <c r="G1031" s="343">
        <f>336</f>
        <v>336</v>
      </c>
      <c r="H1031" s="343">
        <f t="shared" si="76"/>
        <v>336</v>
      </c>
      <c r="I1031" s="218"/>
    </row>
    <row r="1032" spans="1:9" ht="15.75" x14ac:dyDescent="0.25">
      <c r="A1032" s="340" t="s">
        <v>157</v>
      </c>
      <c r="B1032" s="337">
        <v>908</v>
      </c>
      <c r="C1032" s="341" t="s">
        <v>250</v>
      </c>
      <c r="D1032" s="341" t="s">
        <v>250</v>
      </c>
      <c r="E1032" s="341" t="s">
        <v>912</v>
      </c>
      <c r="F1032" s="341"/>
      <c r="G1032" s="339">
        <f>G1033+G1040</f>
        <v>10761</v>
      </c>
      <c r="H1032" s="339">
        <f>H1033+H1040</f>
        <v>10761</v>
      </c>
      <c r="I1032" s="218"/>
    </row>
    <row r="1033" spans="1:9" ht="31.5" x14ac:dyDescent="0.25">
      <c r="A1033" s="340" t="s">
        <v>916</v>
      </c>
      <c r="B1033" s="337">
        <v>908</v>
      </c>
      <c r="C1033" s="341" t="s">
        <v>250</v>
      </c>
      <c r="D1033" s="341" t="s">
        <v>250</v>
      </c>
      <c r="E1033" s="341" t="s">
        <v>911</v>
      </c>
      <c r="F1033" s="341"/>
      <c r="G1033" s="339">
        <f>G1034+G1037</f>
        <v>982</v>
      </c>
      <c r="H1033" s="339">
        <f>H1034+H1037</f>
        <v>982</v>
      </c>
      <c r="I1033" s="218"/>
    </row>
    <row r="1034" spans="1:9" ht="31.5" x14ac:dyDescent="0.25">
      <c r="A1034" s="342" t="s">
        <v>586</v>
      </c>
      <c r="B1034" s="336">
        <v>908</v>
      </c>
      <c r="C1034" s="338" t="s">
        <v>250</v>
      </c>
      <c r="D1034" s="338" t="s">
        <v>250</v>
      </c>
      <c r="E1034" s="338" t="s">
        <v>1132</v>
      </c>
      <c r="F1034" s="338"/>
      <c r="G1034" s="343">
        <f>G1035</f>
        <v>982</v>
      </c>
      <c r="H1034" s="343">
        <f>H1035</f>
        <v>982</v>
      </c>
      <c r="I1034" s="218"/>
    </row>
    <row r="1035" spans="1:9" ht="15.75" x14ac:dyDescent="0.25">
      <c r="A1035" s="342" t="s">
        <v>151</v>
      </c>
      <c r="B1035" s="336">
        <v>908</v>
      </c>
      <c r="C1035" s="338" t="s">
        <v>250</v>
      </c>
      <c r="D1035" s="338" t="s">
        <v>250</v>
      </c>
      <c r="E1035" s="338" t="s">
        <v>1132</v>
      </c>
      <c r="F1035" s="338" t="s">
        <v>161</v>
      </c>
      <c r="G1035" s="343">
        <f>G1036</f>
        <v>982</v>
      </c>
      <c r="H1035" s="343">
        <f>H1036</f>
        <v>982</v>
      </c>
      <c r="I1035" s="218"/>
    </row>
    <row r="1036" spans="1:9" ht="47.25" x14ac:dyDescent="0.25">
      <c r="A1036" s="342" t="s">
        <v>200</v>
      </c>
      <c r="B1036" s="336">
        <v>908</v>
      </c>
      <c r="C1036" s="338" t="s">
        <v>250</v>
      </c>
      <c r="D1036" s="338" t="s">
        <v>250</v>
      </c>
      <c r="E1036" s="338" t="s">
        <v>1132</v>
      </c>
      <c r="F1036" s="338" t="s">
        <v>176</v>
      </c>
      <c r="G1036" s="343">
        <f>982</f>
        <v>982</v>
      </c>
      <c r="H1036" s="343">
        <f t="shared" si="76"/>
        <v>982</v>
      </c>
      <c r="I1036" s="218"/>
    </row>
    <row r="1037" spans="1:9" ht="31.5" hidden="1" x14ac:dyDescent="0.25">
      <c r="A1037" s="342" t="s">
        <v>868</v>
      </c>
      <c r="B1037" s="336">
        <v>908</v>
      </c>
      <c r="C1037" s="338" t="s">
        <v>250</v>
      </c>
      <c r="D1037" s="338" t="s">
        <v>250</v>
      </c>
      <c r="E1037" s="338" t="s">
        <v>1251</v>
      </c>
      <c r="F1037" s="338"/>
      <c r="G1037" s="343">
        <f>'Пр.4 ведом.20'!G1094</f>
        <v>0</v>
      </c>
      <c r="H1037" s="343">
        <f t="shared" si="76"/>
        <v>0</v>
      </c>
      <c r="I1037" s="218"/>
    </row>
    <row r="1038" spans="1:9" ht="15.75" hidden="1" x14ac:dyDescent="0.25">
      <c r="A1038" s="342" t="s">
        <v>151</v>
      </c>
      <c r="B1038" s="336">
        <v>908</v>
      </c>
      <c r="C1038" s="338" t="s">
        <v>250</v>
      </c>
      <c r="D1038" s="338" t="s">
        <v>250</v>
      </c>
      <c r="E1038" s="338" t="s">
        <v>1251</v>
      </c>
      <c r="F1038" s="338" t="s">
        <v>161</v>
      </c>
      <c r="G1038" s="343">
        <f>'Пр.4 ведом.20'!G1095</f>
        <v>0</v>
      </c>
      <c r="H1038" s="343">
        <f t="shared" si="76"/>
        <v>0</v>
      </c>
      <c r="I1038" s="218"/>
    </row>
    <row r="1039" spans="1:9" ht="47.25" hidden="1" x14ac:dyDescent="0.25">
      <c r="A1039" s="342" t="s">
        <v>200</v>
      </c>
      <c r="B1039" s="336">
        <v>908</v>
      </c>
      <c r="C1039" s="338" t="s">
        <v>250</v>
      </c>
      <c r="D1039" s="338" t="s">
        <v>250</v>
      </c>
      <c r="E1039" s="338" t="s">
        <v>1251</v>
      </c>
      <c r="F1039" s="338" t="s">
        <v>176</v>
      </c>
      <c r="G1039" s="343">
        <f>'Пр.4 ведом.20'!G1096</f>
        <v>0</v>
      </c>
      <c r="H1039" s="343">
        <f t="shared" si="76"/>
        <v>0</v>
      </c>
      <c r="I1039" s="218"/>
    </row>
    <row r="1040" spans="1:9" ht="31.5" x14ac:dyDescent="0.25">
      <c r="A1040" s="340" t="s">
        <v>1002</v>
      </c>
      <c r="B1040" s="337">
        <v>908</v>
      </c>
      <c r="C1040" s="341" t="s">
        <v>250</v>
      </c>
      <c r="D1040" s="341" t="s">
        <v>250</v>
      </c>
      <c r="E1040" s="341" t="s">
        <v>987</v>
      </c>
      <c r="F1040" s="341"/>
      <c r="G1040" s="44">
        <f>G1041+G1046</f>
        <v>9779</v>
      </c>
      <c r="H1040" s="44">
        <f>H1041+H1046</f>
        <v>9779</v>
      </c>
      <c r="I1040" s="218"/>
    </row>
    <row r="1041" spans="1:9" ht="31.5" x14ac:dyDescent="0.25">
      <c r="A1041" s="342" t="s">
        <v>974</v>
      </c>
      <c r="B1041" s="336">
        <v>908</v>
      </c>
      <c r="C1041" s="338" t="s">
        <v>250</v>
      </c>
      <c r="D1041" s="338" t="s">
        <v>250</v>
      </c>
      <c r="E1041" s="338" t="s">
        <v>988</v>
      </c>
      <c r="F1041" s="338"/>
      <c r="G1041" s="343">
        <f>G1042+G1044</f>
        <v>9359</v>
      </c>
      <c r="H1041" s="343">
        <f>H1042+H1044</f>
        <v>9359</v>
      </c>
      <c r="I1041" s="218"/>
    </row>
    <row r="1042" spans="1:9" ht="78.75" x14ac:dyDescent="0.25">
      <c r="A1042" s="342" t="s">
        <v>143</v>
      </c>
      <c r="B1042" s="336">
        <v>908</v>
      </c>
      <c r="C1042" s="338" t="s">
        <v>250</v>
      </c>
      <c r="D1042" s="338" t="s">
        <v>250</v>
      </c>
      <c r="E1042" s="338" t="s">
        <v>988</v>
      </c>
      <c r="F1042" s="338" t="s">
        <v>144</v>
      </c>
      <c r="G1042" s="343">
        <f>G1043</f>
        <v>8047</v>
      </c>
      <c r="H1042" s="343">
        <f>H1043</f>
        <v>8047</v>
      </c>
      <c r="I1042" s="218"/>
    </row>
    <row r="1043" spans="1:9" ht="31.5" x14ac:dyDescent="0.25">
      <c r="A1043" s="342" t="s">
        <v>358</v>
      </c>
      <c r="B1043" s="336">
        <v>908</v>
      </c>
      <c r="C1043" s="338" t="s">
        <v>250</v>
      </c>
      <c r="D1043" s="338" t="s">
        <v>250</v>
      </c>
      <c r="E1043" s="338" t="s">
        <v>988</v>
      </c>
      <c r="F1043" s="338" t="s">
        <v>225</v>
      </c>
      <c r="G1043" s="343">
        <f>8047</f>
        <v>8047</v>
      </c>
      <c r="H1043" s="343">
        <f t="shared" si="76"/>
        <v>8047</v>
      </c>
      <c r="I1043" s="218"/>
    </row>
    <row r="1044" spans="1:9" ht="31.5" x14ac:dyDescent="0.25">
      <c r="A1044" s="342" t="s">
        <v>147</v>
      </c>
      <c r="B1044" s="336">
        <v>908</v>
      </c>
      <c r="C1044" s="338" t="s">
        <v>250</v>
      </c>
      <c r="D1044" s="338" t="s">
        <v>250</v>
      </c>
      <c r="E1044" s="338" t="s">
        <v>988</v>
      </c>
      <c r="F1044" s="338" t="s">
        <v>148</v>
      </c>
      <c r="G1044" s="343">
        <f>G1045</f>
        <v>1312</v>
      </c>
      <c r="H1044" s="343">
        <f>H1045</f>
        <v>1312</v>
      </c>
      <c r="I1044" s="218"/>
    </row>
    <row r="1045" spans="1:9" ht="31.5" x14ac:dyDescent="0.25">
      <c r="A1045" s="342" t="s">
        <v>149</v>
      </c>
      <c r="B1045" s="336">
        <v>908</v>
      </c>
      <c r="C1045" s="338" t="s">
        <v>250</v>
      </c>
      <c r="D1045" s="338" t="s">
        <v>250</v>
      </c>
      <c r="E1045" s="338" t="s">
        <v>988</v>
      </c>
      <c r="F1045" s="338" t="s">
        <v>150</v>
      </c>
      <c r="G1045" s="343">
        <f>1312</f>
        <v>1312</v>
      </c>
      <c r="H1045" s="343">
        <f t="shared" si="76"/>
        <v>1312</v>
      </c>
      <c r="I1045" s="218"/>
    </row>
    <row r="1046" spans="1:9" ht="47.25" x14ac:dyDescent="0.25">
      <c r="A1046" s="342" t="s">
        <v>885</v>
      </c>
      <c r="B1046" s="336">
        <v>908</v>
      </c>
      <c r="C1046" s="338" t="s">
        <v>250</v>
      </c>
      <c r="D1046" s="338" t="s">
        <v>250</v>
      </c>
      <c r="E1046" s="338" t="s">
        <v>989</v>
      </c>
      <c r="F1046" s="338"/>
      <c r="G1046" s="343">
        <f>G1047</f>
        <v>420</v>
      </c>
      <c r="H1046" s="343">
        <f>H1047</f>
        <v>420</v>
      </c>
      <c r="I1046" s="218"/>
    </row>
    <row r="1047" spans="1:9" ht="78.75" x14ac:dyDescent="0.25">
      <c r="A1047" s="342" t="s">
        <v>143</v>
      </c>
      <c r="B1047" s="336">
        <v>908</v>
      </c>
      <c r="C1047" s="338" t="s">
        <v>250</v>
      </c>
      <c r="D1047" s="338" t="s">
        <v>250</v>
      </c>
      <c r="E1047" s="338" t="s">
        <v>989</v>
      </c>
      <c r="F1047" s="338" t="s">
        <v>144</v>
      </c>
      <c r="G1047" s="343">
        <f>G1048</f>
        <v>420</v>
      </c>
      <c r="H1047" s="343">
        <f>H1048</f>
        <v>420</v>
      </c>
      <c r="I1047" s="218"/>
    </row>
    <row r="1048" spans="1:9" ht="23.25" customHeight="1" x14ac:dyDescent="0.25">
      <c r="A1048" s="342" t="s">
        <v>358</v>
      </c>
      <c r="B1048" s="336">
        <v>908</v>
      </c>
      <c r="C1048" s="338" t="s">
        <v>250</v>
      </c>
      <c r="D1048" s="338" t="s">
        <v>250</v>
      </c>
      <c r="E1048" s="338" t="s">
        <v>989</v>
      </c>
      <c r="F1048" s="338" t="s">
        <v>225</v>
      </c>
      <c r="G1048" s="343">
        <f>420</f>
        <v>420</v>
      </c>
      <c r="H1048" s="343">
        <f t="shared" si="76"/>
        <v>420</v>
      </c>
      <c r="I1048" s="218"/>
    </row>
    <row r="1049" spans="1:9" s="217" customFormat="1" ht="63" hidden="1" x14ac:dyDescent="0.25">
      <c r="A1049" s="34" t="s">
        <v>805</v>
      </c>
      <c r="B1049" s="337">
        <v>908</v>
      </c>
      <c r="C1049" s="341" t="s">
        <v>250</v>
      </c>
      <c r="D1049" s="341" t="s">
        <v>250</v>
      </c>
      <c r="E1049" s="341" t="s">
        <v>340</v>
      </c>
      <c r="F1049" s="341"/>
      <c r="G1049" s="339">
        <f t="shared" ref="G1049:H1052" si="78">G1050</f>
        <v>0</v>
      </c>
      <c r="H1049" s="339">
        <f t="shared" si="78"/>
        <v>0</v>
      </c>
      <c r="I1049" s="218"/>
    </row>
    <row r="1050" spans="1:9" s="217" customFormat="1" ht="63" hidden="1" x14ac:dyDescent="0.25">
      <c r="A1050" s="34" t="s">
        <v>1162</v>
      </c>
      <c r="B1050" s="337">
        <v>908</v>
      </c>
      <c r="C1050" s="341" t="s">
        <v>250</v>
      </c>
      <c r="D1050" s="341" t="s">
        <v>250</v>
      </c>
      <c r="E1050" s="341" t="s">
        <v>1025</v>
      </c>
      <c r="F1050" s="341"/>
      <c r="G1050" s="339">
        <f t="shared" si="78"/>
        <v>0</v>
      </c>
      <c r="H1050" s="339">
        <f t="shared" si="78"/>
        <v>0</v>
      </c>
      <c r="I1050" s="218"/>
    </row>
    <row r="1051" spans="1:9" s="217" customFormat="1" ht="47.25" hidden="1" x14ac:dyDescent="0.25">
      <c r="A1051" s="31" t="s">
        <v>1273</v>
      </c>
      <c r="B1051" s="336">
        <v>908</v>
      </c>
      <c r="C1051" s="338" t="s">
        <v>250</v>
      </c>
      <c r="D1051" s="338" t="s">
        <v>250</v>
      </c>
      <c r="E1051" s="338" t="s">
        <v>1192</v>
      </c>
      <c r="F1051" s="338"/>
      <c r="G1051" s="343">
        <f t="shared" si="78"/>
        <v>0</v>
      </c>
      <c r="H1051" s="343">
        <f t="shared" si="78"/>
        <v>0</v>
      </c>
      <c r="I1051" s="218"/>
    </row>
    <row r="1052" spans="1:9" s="217" customFormat="1" ht="31.5" hidden="1" x14ac:dyDescent="0.25">
      <c r="A1052" s="342" t="s">
        <v>147</v>
      </c>
      <c r="B1052" s="336">
        <v>908</v>
      </c>
      <c r="C1052" s="338" t="s">
        <v>250</v>
      </c>
      <c r="D1052" s="338" t="s">
        <v>250</v>
      </c>
      <c r="E1052" s="338" t="s">
        <v>1192</v>
      </c>
      <c r="F1052" s="338" t="s">
        <v>148</v>
      </c>
      <c r="G1052" s="343">
        <f t="shared" si="78"/>
        <v>0</v>
      </c>
      <c r="H1052" s="343">
        <f t="shared" si="78"/>
        <v>0</v>
      </c>
      <c r="I1052" s="218"/>
    </row>
    <row r="1053" spans="1:9" s="217" customFormat="1" ht="31.5" hidden="1" x14ac:dyDescent="0.25">
      <c r="A1053" s="342" t="s">
        <v>149</v>
      </c>
      <c r="B1053" s="336">
        <v>908</v>
      </c>
      <c r="C1053" s="338" t="s">
        <v>250</v>
      </c>
      <c r="D1053" s="338" t="s">
        <v>250</v>
      </c>
      <c r="E1053" s="338" t="s">
        <v>1192</v>
      </c>
      <c r="F1053" s="338" t="s">
        <v>150</v>
      </c>
      <c r="G1053" s="343">
        <v>0</v>
      </c>
      <c r="H1053" s="343">
        <v>0</v>
      </c>
      <c r="I1053" s="218"/>
    </row>
    <row r="1054" spans="1:9" ht="15.75" x14ac:dyDescent="0.25">
      <c r="A1054" s="340" t="s">
        <v>259</v>
      </c>
      <c r="B1054" s="337">
        <v>908</v>
      </c>
      <c r="C1054" s="341" t="s">
        <v>260</v>
      </c>
      <c r="D1054" s="341"/>
      <c r="E1054" s="341"/>
      <c r="F1054" s="341"/>
      <c r="G1054" s="339">
        <f t="shared" ref="G1054:H1055" si="79">G1055</f>
        <v>87</v>
      </c>
      <c r="H1054" s="339">
        <f t="shared" si="79"/>
        <v>87</v>
      </c>
      <c r="I1054" s="218"/>
    </row>
    <row r="1055" spans="1:9" ht="15.75" x14ac:dyDescent="0.25">
      <c r="A1055" s="340" t="s">
        <v>274</v>
      </c>
      <c r="B1055" s="337">
        <v>908</v>
      </c>
      <c r="C1055" s="341" t="s">
        <v>260</v>
      </c>
      <c r="D1055" s="341" t="s">
        <v>136</v>
      </c>
      <c r="E1055" s="341"/>
      <c r="F1055" s="341"/>
      <c r="G1055" s="339">
        <f t="shared" si="79"/>
        <v>87</v>
      </c>
      <c r="H1055" s="339">
        <f t="shared" si="79"/>
        <v>87</v>
      </c>
      <c r="I1055" s="218"/>
    </row>
    <row r="1056" spans="1:9" ht="15.75" x14ac:dyDescent="0.25">
      <c r="A1056" s="340" t="s">
        <v>157</v>
      </c>
      <c r="B1056" s="337">
        <v>908</v>
      </c>
      <c r="C1056" s="341" t="s">
        <v>260</v>
      </c>
      <c r="D1056" s="341" t="s">
        <v>136</v>
      </c>
      <c r="E1056" s="341" t="s">
        <v>912</v>
      </c>
      <c r="F1056" s="341"/>
      <c r="G1056" s="339">
        <f t="shared" ref="G1056:H1058" si="80">G1057</f>
        <v>87</v>
      </c>
      <c r="H1056" s="339">
        <f t="shared" si="80"/>
        <v>87</v>
      </c>
      <c r="I1056" s="218"/>
    </row>
    <row r="1057" spans="1:9" ht="15.75" x14ac:dyDescent="0.25">
      <c r="A1057" s="340" t="s">
        <v>157</v>
      </c>
      <c r="B1057" s="337">
        <v>908</v>
      </c>
      <c r="C1057" s="341" t="s">
        <v>260</v>
      </c>
      <c r="D1057" s="341" t="s">
        <v>136</v>
      </c>
      <c r="E1057" s="341" t="s">
        <v>911</v>
      </c>
      <c r="F1057" s="341"/>
      <c r="G1057" s="339">
        <f t="shared" si="80"/>
        <v>87</v>
      </c>
      <c r="H1057" s="339">
        <f t="shared" si="80"/>
        <v>87</v>
      </c>
      <c r="I1057" s="218"/>
    </row>
    <row r="1058" spans="1:9" ht="31.5" x14ac:dyDescent="0.25">
      <c r="A1058" s="340" t="s">
        <v>916</v>
      </c>
      <c r="B1058" s="337">
        <v>908</v>
      </c>
      <c r="C1058" s="341" t="s">
        <v>260</v>
      </c>
      <c r="D1058" s="341" t="s">
        <v>136</v>
      </c>
      <c r="E1058" s="341" t="s">
        <v>911</v>
      </c>
      <c r="F1058" s="341"/>
      <c r="G1058" s="339">
        <f t="shared" si="80"/>
        <v>87</v>
      </c>
      <c r="H1058" s="339">
        <f t="shared" si="80"/>
        <v>87</v>
      </c>
      <c r="I1058" s="218"/>
    </row>
    <row r="1059" spans="1:9" ht="15.75" x14ac:dyDescent="0.25">
      <c r="A1059" s="342" t="s">
        <v>588</v>
      </c>
      <c r="B1059" s="336">
        <v>908</v>
      </c>
      <c r="C1059" s="338" t="s">
        <v>260</v>
      </c>
      <c r="D1059" s="338" t="s">
        <v>136</v>
      </c>
      <c r="E1059" s="338" t="s">
        <v>1133</v>
      </c>
      <c r="F1059" s="338"/>
      <c r="G1059" s="343">
        <f>G1060</f>
        <v>87</v>
      </c>
      <c r="H1059" s="343">
        <f>H1060</f>
        <v>87</v>
      </c>
      <c r="I1059" s="218"/>
    </row>
    <row r="1060" spans="1:9" ht="31.5" x14ac:dyDescent="0.25">
      <c r="A1060" s="342" t="s">
        <v>147</v>
      </c>
      <c r="B1060" s="336">
        <v>908</v>
      </c>
      <c r="C1060" s="338" t="s">
        <v>260</v>
      </c>
      <c r="D1060" s="338" t="s">
        <v>136</v>
      </c>
      <c r="E1060" s="338" t="s">
        <v>1133</v>
      </c>
      <c r="F1060" s="338" t="s">
        <v>148</v>
      </c>
      <c r="G1060" s="343">
        <f>G1061</f>
        <v>87</v>
      </c>
      <c r="H1060" s="343">
        <f>H1061</f>
        <v>87</v>
      </c>
      <c r="I1060" s="218"/>
    </row>
    <row r="1061" spans="1:9" ht="31.5" x14ac:dyDescent="0.25">
      <c r="A1061" s="342" t="s">
        <v>149</v>
      </c>
      <c r="B1061" s="336">
        <v>908</v>
      </c>
      <c r="C1061" s="338" t="s">
        <v>260</v>
      </c>
      <c r="D1061" s="338" t="s">
        <v>136</v>
      </c>
      <c r="E1061" s="338" t="s">
        <v>1133</v>
      </c>
      <c r="F1061" s="338" t="s">
        <v>150</v>
      </c>
      <c r="G1061" s="343">
        <f>87</f>
        <v>87</v>
      </c>
      <c r="H1061" s="343">
        <f t="shared" ref="H1061:H1104" si="81">G1061</f>
        <v>87</v>
      </c>
      <c r="I1061" s="218"/>
    </row>
    <row r="1062" spans="1:9" ht="31.5" x14ac:dyDescent="0.25">
      <c r="A1062" s="337" t="s">
        <v>590</v>
      </c>
      <c r="B1062" s="337">
        <v>910</v>
      </c>
      <c r="C1062" s="47"/>
      <c r="D1062" s="47"/>
      <c r="E1062" s="47"/>
      <c r="F1062" s="47"/>
      <c r="G1062" s="339">
        <f>G1063</f>
        <v>7005.5</v>
      </c>
      <c r="H1062" s="339">
        <f>H1063</f>
        <v>7005.5</v>
      </c>
      <c r="I1062" s="218"/>
    </row>
    <row r="1063" spans="1:9" ht="15.75" x14ac:dyDescent="0.25">
      <c r="A1063" s="340" t="s">
        <v>133</v>
      </c>
      <c r="B1063" s="337">
        <v>910</v>
      </c>
      <c r="C1063" s="341" t="s">
        <v>134</v>
      </c>
      <c r="D1063" s="341"/>
      <c r="E1063" s="341"/>
      <c r="F1063" s="341"/>
      <c r="G1063" s="339">
        <f>G1064+G1083+G1094</f>
        <v>7005.5</v>
      </c>
      <c r="H1063" s="339">
        <f>H1064+H1083+H1094</f>
        <v>7005.5</v>
      </c>
      <c r="I1063" s="218"/>
    </row>
    <row r="1064" spans="1:9" ht="47.25" x14ac:dyDescent="0.25">
      <c r="A1064" s="340" t="s">
        <v>591</v>
      </c>
      <c r="B1064" s="337">
        <v>910</v>
      </c>
      <c r="C1064" s="341" t="s">
        <v>134</v>
      </c>
      <c r="D1064" s="341" t="s">
        <v>229</v>
      </c>
      <c r="E1064" s="341"/>
      <c r="F1064" s="341"/>
      <c r="G1064" s="339">
        <f>G1065+G1075</f>
        <v>4268.5</v>
      </c>
      <c r="H1064" s="339">
        <f>H1065+H1075</f>
        <v>4268.5</v>
      </c>
      <c r="I1064" s="218"/>
    </row>
    <row r="1065" spans="1:9" ht="31.5" x14ac:dyDescent="0.25">
      <c r="A1065" s="340" t="s">
        <v>990</v>
      </c>
      <c r="B1065" s="337">
        <v>910</v>
      </c>
      <c r="C1065" s="341" t="s">
        <v>134</v>
      </c>
      <c r="D1065" s="341" t="s">
        <v>229</v>
      </c>
      <c r="E1065" s="341" t="s">
        <v>904</v>
      </c>
      <c r="F1065" s="341"/>
      <c r="G1065" s="339">
        <f>G1066</f>
        <v>4243</v>
      </c>
      <c r="H1065" s="339">
        <f>H1066</f>
        <v>4243</v>
      </c>
      <c r="I1065" s="218"/>
    </row>
    <row r="1066" spans="1:9" ht="31.5" x14ac:dyDescent="0.25">
      <c r="A1066" s="340" t="s">
        <v>1134</v>
      </c>
      <c r="B1066" s="337">
        <v>910</v>
      </c>
      <c r="C1066" s="341" t="s">
        <v>134</v>
      </c>
      <c r="D1066" s="341" t="s">
        <v>229</v>
      </c>
      <c r="E1066" s="341" t="s">
        <v>1135</v>
      </c>
      <c r="F1066" s="341"/>
      <c r="G1066" s="339">
        <f>G1067+G1072</f>
        <v>4243</v>
      </c>
      <c r="H1066" s="339">
        <f>H1067+H1072</f>
        <v>4243</v>
      </c>
      <c r="I1066" s="218"/>
    </row>
    <row r="1067" spans="1:9" ht="31.5" x14ac:dyDescent="0.25">
      <c r="A1067" s="342" t="s">
        <v>592</v>
      </c>
      <c r="B1067" s="336">
        <v>910</v>
      </c>
      <c r="C1067" s="338" t="s">
        <v>134</v>
      </c>
      <c r="D1067" s="338" t="s">
        <v>229</v>
      </c>
      <c r="E1067" s="338" t="s">
        <v>1136</v>
      </c>
      <c r="F1067" s="338"/>
      <c r="G1067" s="343">
        <f>G1068+G1070</f>
        <v>4201</v>
      </c>
      <c r="H1067" s="343">
        <f>H1068+H1070</f>
        <v>4201</v>
      </c>
      <c r="I1067" s="218"/>
    </row>
    <row r="1068" spans="1:9" ht="78.75" x14ac:dyDescent="0.25">
      <c r="A1068" s="342" t="s">
        <v>143</v>
      </c>
      <c r="B1068" s="336">
        <v>910</v>
      </c>
      <c r="C1068" s="338" t="s">
        <v>134</v>
      </c>
      <c r="D1068" s="338" t="s">
        <v>229</v>
      </c>
      <c r="E1068" s="338" t="s">
        <v>1136</v>
      </c>
      <c r="F1068" s="338" t="s">
        <v>144</v>
      </c>
      <c r="G1068" s="343">
        <f>G1069</f>
        <v>4111</v>
      </c>
      <c r="H1068" s="343">
        <f>H1069</f>
        <v>4111</v>
      </c>
      <c r="I1068" s="218"/>
    </row>
    <row r="1069" spans="1:9" ht="31.5" x14ac:dyDescent="0.25">
      <c r="A1069" s="342" t="s">
        <v>145</v>
      </c>
      <c r="B1069" s="336">
        <v>910</v>
      </c>
      <c r="C1069" s="338" t="s">
        <v>134</v>
      </c>
      <c r="D1069" s="338" t="s">
        <v>229</v>
      </c>
      <c r="E1069" s="338" t="s">
        <v>1136</v>
      </c>
      <c r="F1069" s="338" t="s">
        <v>146</v>
      </c>
      <c r="G1069" s="343">
        <f>4111</f>
        <v>4111</v>
      </c>
      <c r="H1069" s="343">
        <f t="shared" si="81"/>
        <v>4111</v>
      </c>
      <c r="I1069" s="218"/>
    </row>
    <row r="1070" spans="1:9" ht="31.5" x14ac:dyDescent="0.25">
      <c r="A1070" s="342" t="s">
        <v>214</v>
      </c>
      <c r="B1070" s="336">
        <v>910</v>
      </c>
      <c r="C1070" s="338" t="s">
        <v>134</v>
      </c>
      <c r="D1070" s="338" t="s">
        <v>229</v>
      </c>
      <c r="E1070" s="338" t="s">
        <v>1136</v>
      </c>
      <c r="F1070" s="338" t="s">
        <v>148</v>
      </c>
      <c r="G1070" s="343">
        <f>G1071</f>
        <v>90</v>
      </c>
      <c r="H1070" s="343">
        <f>H1071</f>
        <v>90</v>
      </c>
      <c r="I1070" s="218"/>
    </row>
    <row r="1071" spans="1:9" ht="31.5" x14ac:dyDescent="0.25">
      <c r="A1071" s="342" t="s">
        <v>149</v>
      </c>
      <c r="B1071" s="336">
        <v>910</v>
      </c>
      <c r="C1071" s="338" t="s">
        <v>134</v>
      </c>
      <c r="D1071" s="338" t="s">
        <v>229</v>
      </c>
      <c r="E1071" s="338" t="s">
        <v>1136</v>
      </c>
      <c r="F1071" s="338" t="s">
        <v>150</v>
      </c>
      <c r="G1071" s="343">
        <f>90</f>
        <v>90</v>
      </c>
      <c r="H1071" s="343">
        <f t="shared" si="81"/>
        <v>90</v>
      </c>
      <c r="I1071" s="218"/>
    </row>
    <row r="1072" spans="1:9" ht="47.25" x14ac:dyDescent="0.25">
      <c r="A1072" s="342" t="s">
        <v>885</v>
      </c>
      <c r="B1072" s="336">
        <v>910</v>
      </c>
      <c r="C1072" s="338" t="s">
        <v>134</v>
      </c>
      <c r="D1072" s="338" t="s">
        <v>229</v>
      </c>
      <c r="E1072" s="338" t="s">
        <v>1137</v>
      </c>
      <c r="F1072" s="338"/>
      <c r="G1072" s="343">
        <f>G1073</f>
        <v>42</v>
      </c>
      <c r="H1072" s="343">
        <f>H1073</f>
        <v>42</v>
      </c>
      <c r="I1072" s="218"/>
    </row>
    <row r="1073" spans="1:9" ht="78.75" x14ac:dyDescent="0.25">
      <c r="A1073" s="342" t="s">
        <v>143</v>
      </c>
      <c r="B1073" s="336">
        <v>910</v>
      </c>
      <c r="C1073" s="338" t="s">
        <v>134</v>
      </c>
      <c r="D1073" s="338" t="s">
        <v>229</v>
      </c>
      <c r="E1073" s="338" t="s">
        <v>1137</v>
      </c>
      <c r="F1073" s="338" t="s">
        <v>144</v>
      </c>
      <c r="G1073" s="343">
        <f>G1074</f>
        <v>42</v>
      </c>
      <c r="H1073" s="343">
        <f>H1074</f>
        <v>42</v>
      </c>
      <c r="I1073" s="218"/>
    </row>
    <row r="1074" spans="1:9" ht="31.5" x14ac:dyDescent="0.25">
      <c r="A1074" s="342" t="s">
        <v>145</v>
      </c>
      <c r="B1074" s="336">
        <v>910</v>
      </c>
      <c r="C1074" s="338" t="s">
        <v>134</v>
      </c>
      <c r="D1074" s="338" t="s">
        <v>229</v>
      </c>
      <c r="E1074" s="338" t="s">
        <v>1137</v>
      </c>
      <c r="F1074" s="338" t="s">
        <v>146</v>
      </c>
      <c r="G1074" s="343">
        <v>42</v>
      </c>
      <c r="H1074" s="343">
        <f t="shared" si="81"/>
        <v>42</v>
      </c>
      <c r="I1074" s="218"/>
    </row>
    <row r="1075" spans="1:9" ht="47.25" x14ac:dyDescent="0.25">
      <c r="A1075" s="340" t="s">
        <v>1438</v>
      </c>
      <c r="B1075" s="337">
        <v>910</v>
      </c>
      <c r="C1075" s="341" t="s">
        <v>134</v>
      </c>
      <c r="D1075" s="341" t="s">
        <v>229</v>
      </c>
      <c r="E1075" s="341" t="s">
        <v>178</v>
      </c>
      <c r="F1075" s="341"/>
      <c r="G1075" s="339">
        <f>G1076</f>
        <v>25.5</v>
      </c>
      <c r="H1075" s="339">
        <f>H1076</f>
        <v>25.5</v>
      </c>
      <c r="I1075" s="218"/>
    </row>
    <row r="1076" spans="1:9" ht="63" x14ac:dyDescent="0.25">
      <c r="A1076" s="232" t="s">
        <v>889</v>
      </c>
      <c r="B1076" s="337">
        <v>910</v>
      </c>
      <c r="C1076" s="341" t="s">
        <v>134</v>
      </c>
      <c r="D1076" s="341" t="s">
        <v>229</v>
      </c>
      <c r="E1076" s="341" t="s">
        <v>896</v>
      </c>
      <c r="F1076" s="341"/>
      <c r="G1076" s="339">
        <f>G1077+G1080</f>
        <v>25.5</v>
      </c>
      <c r="H1076" s="339">
        <f>H1077+H1080</f>
        <v>25.5</v>
      </c>
      <c r="I1076" s="218"/>
    </row>
    <row r="1077" spans="1:9" ht="47.25" x14ac:dyDescent="0.25">
      <c r="A1077" s="31" t="s">
        <v>712</v>
      </c>
      <c r="B1077" s="336">
        <v>910</v>
      </c>
      <c r="C1077" s="338" t="s">
        <v>134</v>
      </c>
      <c r="D1077" s="338" t="s">
        <v>229</v>
      </c>
      <c r="E1077" s="346" t="s">
        <v>1142</v>
      </c>
      <c r="F1077" s="338"/>
      <c r="G1077" s="343">
        <f>G1078</f>
        <v>0.5</v>
      </c>
      <c r="H1077" s="343">
        <f>H1078</f>
        <v>0.5</v>
      </c>
      <c r="I1077" s="218"/>
    </row>
    <row r="1078" spans="1:9" ht="31.5" x14ac:dyDescent="0.25">
      <c r="A1078" s="342" t="s">
        <v>147</v>
      </c>
      <c r="B1078" s="336">
        <v>910</v>
      </c>
      <c r="C1078" s="338" t="s">
        <v>134</v>
      </c>
      <c r="D1078" s="338" t="s">
        <v>229</v>
      </c>
      <c r="E1078" s="346" t="s">
        <v>1142</v>
      </c>
      <c r="F1078" s="338" t="s">
        <v>148</v>
      </c>
      <c r="G1078" s="343">
        <f>G1079</f>
        <v>0.5</v>
      </c>
      <c r="H1078" s="343">
        <f>H1079</f>
        <v>0.5</v>
      </c>
      <c r="I1078" s="218"/>
    </row>
    <row r="1079" spans="1:9" ht="31.5" x14ac:dyDescent="0.25">
      <c r="A1079" s="342" t="s">
        <v>149</v>
      </c>
      <c r="B1079" s="336">
        <v>910</v>
      </c>
      <c r="C1079" s="338" t="s">
        <v>134</v>
      </c>
      <c r="D1079" s="338" t="s">
        <v>229</v>
      </c>
      <c r="E1079" s="346" t="s">
        <v>713</v>
      </c>
      <c r="F1079" s="338" t="s">
        <v>150</v>
      </c>
      <c r="G1079" s="343">
        <v>0.5</v>
      </c>
      <c r="H1079" s="343">
        <f t="shared" si="81"/>
        <v>0.5</v>
      </c>
      <c r="I1079" s="218"/>
    </row>
    <row r="1080" spans="1:9" ht="47.25" x14ac:dyDescent="0.25">
      <c r="A1080" s="31" t="s">
        <v>712</v>
      </c>
      <c r="B1080" s="336">
        <v>910</v>
      </c>
      <c r="C1080" s="338" t="s">
        <v>134</v>
      </c>
      <c r="D1080" s="338" t="s">
        <v>229</v>
      </c>
      <c r="E1080" s="338" t="s">
        <v>1141</v>
      </c>
      <c r="F1080" s="338"/>
      <c r="G1080" s="343">
        <f>G1081</f>
        <v>25</v>
      </c>
      <c r="H1080" s="343">
        <f>H1081</f>
        <v>25</v>
      </c>
      <c r="I1080" s="218"/>
    </row>
    <row r="1081" spans="1:9" ht="31.5" x14ac:dyDescent="0.25">
      <c r="A1081" s="342" t="s">
        <v>147</v>
      </c>
      <c r="B1081" s="336">
        <v>910</v>
      </c>
      <c r="C1081" s="338" t="s">
        <v>134</v>
      </c>
      <c r="D1081" s="338" t="s">
        <v>229</v>
      </c>
      <c r="E1081" s="338" t="s">
        <v>1141</v>
      </c>
      <c r="F1081" s="338" t="s">
        <v>148</v>
      </c>
      <c r="G1081" s="343">
        <f>G1082</f>
        <v>25</v>
      </c>
      <c r="H1081" s="343">
        <f>H1082</f>
        <v>25</v>
      </c>
      <c r="I1081" s="218"/>
    </row>
    <row r="1082" spans="1:9" ht="31.5" x14ac:dyDescent="0.25">
      <c r="A1082" s="342" t="s">
        <v>149</v>
      </c>
      <c r="B1082" s="336">
        <v>910</v>
      </c>
      <c r="C1082" s="338" t="s">
        <v>134</v>
      </c>
      <c r="D1082" s="338" t="s">
        <v>229</v>
      </c>
      <c r="E1082" s="338" t="s">
        <v>1141</v>
      </c>
      <c r="F1082" s="338" t="s">
        <v>150</v>
      </c>
      <c r="G1082" s="343">
        <f>25</f>
        <v>25</v>
      </c>
      <c r="H1082" s="343">
        <f t="shared" si="81"/>
        <v>25</v>
      </c>
      <c r="I1082" s="218"/>
    </row>
    <row r="1083" spans="1:9" ht="63" x14ac:dyDescent="0.25">
      <c r="A1083" s="340" t="s">
        <v>594</v>
      </c>
      <c r="B1083" s="337">
        <v>910</v>
      </c>
      <c r="C1083" s="341" t="s">
        <v>134</v>
      </c>
      <c r="D1083" s="341" t="s">
        <v>231</v>
      </c>
      <c r="E1083" s="341"/>
      <c r="F1083" s="341"/>
      <c r="G1083" s="339">
        <f>G1084</f>
        <v>1091</v>
      </c>
      <c r="H1083" s="339">
        <f>H1084</f>
        <v>1091</v>
      </c>
      <c r="I1083" s="218"/>
    </row>
    <row r="1084" spans="1:9" ht="31.5" x14ac:dyDescent="0.25">
      <c r="A1084" s="340" t="s">
        <v>990</v>
      </c>
      <c r="B1084" s="337">
        <v>910</v>
      </c>
      <c r="C1084" s="341" t="s">
        <v>134</v>
      </c>
      <c r="D1084" s="341" t="s">
        <v>231</v>
      </c>
      <c r="E1084" s="341" t="s">
        <v>904</v>
      </c>
      <c r="F1084" s="341"/>
      <c r="G1084" s="339">
        <f>G1085</f>
        <v>1091</v>
      </c>
      <c r="H1084" s="339">
        <f>H1085</f>
        <v>1091</v>
      </c>
      <c r="I1084" s="218"/>
    </row>
    <row r="1085" spans="1:9" ht="31.5" x14ac:dyDescent="0.25">
      <c r="A1085" s="340" t="s">
        <v>1134</v>
      </c>
      <c r="B1085" s="337">
        <v>910</v>
      </c>
      <c r="C1085" s="341" t="s">
        <v>134</v>
      </c>
      <c r="D1085" s="341" t="s">
        <v>231</v>
      </c>
      <c r="E1085" s="341" t="s">
        <v>1135</v>
      </c>
      <c r="F1085" s="341"/>
      <c r="G1085" s="339">
        <f>G1086+G1091</f>
        <v>1091</v>
      </c>
      <c r="H1085" s="339">
        <f>H1086+H1091</f>
        <v>1091</v>
      </c>
      <c r="I1085" s="218"/>
    </row>
    <row r="1086" spans="1:9" ht="31.5" x14ac:dyDescent="0.25">
      <c r="A1086" s="342" t="s">
        <v>1138</v>
      </c>
      <c r="B1086" s="336">
        <v>910</v>
      </c>
      <c r="C1086" s="338" t="s">
        <v>134</v>
      </c>
      <c r="D1086" s="338" t="s">
        <v>231</v>
      </c>
      <c r="E1086" s="338" t="s">
        <v>1139</v>
      </c>
      <c r="F1086" s="338"/>
      <c r="G1086" s="343">
        <f>G1087+G1089</f>
        <v>1091</v>
      </c>
      <c r="H1086" s="343">
        <f>H1087+H1089</f>
        <v>1091</v>
      </c>
      <c r="I1086" s="218"/>
    </row>
    <row r="1087" spans="1:9" ht="78.75" x14ac:dyDescent="0.25">
      <c r="A1087" s="342" t="s">
        <v>143</v>
      </c>
      <c r="B1087" s="336">
        <v>910</v>
      </c>
      <c r="C1087" s="338" t="s">
        <v>134</v>
      </c>
      <c r="D1087" s="338" t="s">
        <v>231</v>
      </c>
      <c r="E1087" s="338" t="s">
        <v>1139</v>
      </c>
      <c r="F1087" s="338" t="s">
        <v>144</v>
      </c>
      <c r="G1087" s="343">
        <f>G1088</f>
        <v>998</v>
      </c>
      <c r="H1087" s="343">
        <f>H1088</f>
        <v>998</v>
      </c>
      <c r="I1087" s="218"/>
    </row>
    <row r="1088" spans="1:9" ht="31.5" x14ac:dyDescent="0.25">
      <c r="A1088" s="342" t="s">
        <v>145</v>
      </c>
      <c r="B1088" s="336">
        <v>910</v>
      </c>
      <c r="C1088" s="338" t="s">
        <v>134</v>
      </c>
      <c r="D1088" s="338" t="s">
        <v>231</v>
      </c>
      <c r="E1088" s="338" t="s">
        <v>1139</v>
      </c>
      <c r="F1088" s="338" t="s">
        <v>146</v>
      </c>
      <c r="G1088" s="343">
        <f>998</f>
        <v>998</v>
      </c>
      <c r="H1088" s="343">
        <f t="shared" si="81"/>
        <v>998</v>
      </c>
      <c r="I1088" s="218"/>
    </row>
    <row r="1089" spans="1:9" ht="31.5" x14ac:dyDescent="0.25">
      <c r="A1089" s="342" t="s">
        <v>214</v>
      </c>
      <c r="B1089" s="336">
        <v>910</v>
      </c>
      <c r="C1089" s="338" t="s">
        <v>134</v>
      </c>
      <c r="D1089" s="338" t="s">
        <v>231</v>
      </c>
      <c r="E1089" s="338" t="s">
        <v>1139</v>
      </c>
      <c r="F1089" s="338" t="s">
        <v>148</v>
      </c>
      <c r="G1089" s="343">
        <f>G1090</f>
        <v>93</v>
      </c>
      <c r="H1089" s="343">
        <f>H1090</f>
        <v>93</v>
      </c>
      <c r="I1089" s="218"/>
    </row>
    <row r="1090" spans="1:9" ht="31.5" x14ac:dyDescent="0.25">
      <c r="A1090" s="342" t="s">
        <v>149</v>
      </c>
      <c r="B1090" s="336">
        <v>910</v>
      </c>
      <c r="C1090" s="338" t="s">
        <v>134</v>
      </c>
      <c r="D1090" s="338" t="s">
        <v>231</v>
      </c>
      <c r="E1090" s="338" t="s">
        <v>1139</v>
      </c>
      <c r="F1090" s="338" t="s">
        <v>150</v>
      </c>
      <c r="G1090" s="343">
        <f>93</f>
        <v>93</v>
      </c>
      <c r="H1090" s="343">
        <f t="shared" si="81"/>
        <v>93</v>
      </c>
      <c r="I1090" s="218"/>
    </row>
    <row r="1091" spans="1:9" ht="47.25" hidden="1" x14ac:dyDescent="0.25">
      <c r="A1091" s="342" t="s">
        <v>885</v>
      </c>
      <c r="B1091" s="336">
        <v>910</v>
      </c>
      <c r="C1091" s="338" t="s">
        <v>134</v>
      </c>
      <c r="D1091" s="338" t="s">
        <v>231</v>
      </c>
      <c r="E1091" s="338" t="s">
        <v>1137</v>
      </c>
      <c r="F1091" s="338"/>
      <c r="G1091" s="343">
        <f>'Пр.4 ведом.20'!G1148</f>
        <v>0</v>
      </c>
      <c r="H1091" s="343">
        <f t="shared" si="81"/>
        <v>0</v>
      </c>
      <c r="I1091" s="218"/>
    </row>
    <row r="1092" spans="1:9" ht="78.75" hidden="1" x14ac:dyDescent="0.25">
      <c r="A1092" s="342" t="s">
        <v>143</v>
      </c>
      <c r="B1092" s="336">
        <v>910</v>
      </c>
      <c r="C1092" s="338" t="s">
        <v>134</v>
      </c>
      <c r="D1092" s="338" t="s">
        <v>231</v>
      </c>
      <c r="E1092" s="338" t="s">
        <v>1137</v>
      </c>
      <c r="F1092" s="338" t="s">
        <v>144</v>
      </c>
      <c r="G1092" s="343">
        <f>'Пр.4 ведом.20'!G1149</f>
        <v>0</v>
      </c>
      <c r="H1092" s="343">
        <f t="shared" si="81"/>
        <v>0</v>
      </c>
      <c r="I1092" s="218"/>
    </row>
    <row r="1093" spans="1:9" ht="31.5" hidden="1" x14ac:dyDescent="0.25">
      <c r="A1093" s="342" t="s">
        <v>145</v>
      </c>
      <c r="B1093" s="336">
        <v>910</v>
      </c>
      <c r="C1093" s="338" t="s">
        <v>134</v>
      </c>
      <c r="D1093" s="338" t="s">
        <v>231</v>
      </c>
      <c r="E1093" s="338" t="s">
        <v>1137</v>
      </c>
      <c r="F1093" s="338" t="s">
        <v>146</v>
      </c>
      <c r="G1093" s="343">
        <f>'Пр.4 ведом.20'!G1150</f>
        <v>0</v>
      </c>
      <c r="H1093" s="343">
        <f t="shared" si="81"/>
        <v>0</v>
      </c>
      <c r="I1093" s="218"/>
    </row>
    <row r="1094" spans="1:9" ht="47.25" x14ac:dyDescent="0.25">
      <c r="A1094" s="340" t="s">
        <v>135</v>
      </c>
      <c r="B1094" s="337">
        <v>910</v>
      </c>
      <c r="C1094" s="341" t="s">
        <v>134</v>
      </c>
      <c r="D1094" s="341" t="s">
        <v>136</v>
      </c>
      <c r="E1094" s="341"/>
      <c r="F1094" s="341"/>
      <c r="G1094" s="339">
        <f>G1095</f>
        <v>1646</v>
      </c>
      <c r="H1094" s="339">
        <f>H1095</f>
        <v>1646</v>
      </c>
      <c r="I1094" s="218"/>
    </row>
    <row r="1095" spans="1:9" ht="31.5" x14ac:dyDescent="0.25">
      <c r="A1095" s="340" t="s">
        <v>990</v>
      </c>
      <c r="B1095" s="337">
        <v>910</v>
      </c>
      <c r="C1095" s="341" t="s">
        <v>134</v>
      </c>
      <c r="D1095" s="341" t="s">
        <v>136</v>
      </c>
      <c r="E1095" s="341" t="s">
        <v>904</v>
      </c>
      <c r="F1095" s="341"/>
      <c r="G1095" s="339">
        <f>G1096</f>
        <v>1646</v>
      </c>
      <c r="H1095" s="339">
        <f>H1096</f>
        <v>1646</v>
      </c>
      <c r="I1095" s="218"/>
    </row>
    <row r="1096" spans="1:9" ht="31.5" x14ac:dyDescent="0.25">
      <c r="A1096" s="340" t="s">
        <v>1134</v>
      </c>
      <c r="B1096" s="337">
        <v>910</v>
      </c>
      <c r="C1096" s="341" t="s">
        <v>134</v>
      </c>
      <c r="D1096" s="341" t="s">
        <v>136</v>
      </c>
      <c r="E1096" s="341" t="s">
        <v>1135</v>
      </c>
      <c r="F1096" s="341"/>
      <c r="G1096" s="339">
        <f>G1097+G1102</f>
        <v>1646</v>
      </c>
      <c r="H1096" s="339">
        <f>H1097+H1102</f>
        <v>1646</v>
      </c>
      <c r="I1096" s="218"/>
    </row>
    <row r="1097" spans="1:9" ht="31.5" x14ac:dyDescent="0.25">
      <c r="A1097" s="342" t="s">
        <v>967</v>
      </c>
      <c r="B1097" s="336">
        <v>910</v>
      </c>
      <c r="C1097" s="338" t="s">
        <v>134</v>
      </c>
      <c r="D1097" s="338" t="s">
        <v>136</v>
      </c>
      <c r="E1097" s="338" t="s">
        <v>1139</v>
      </c>
      <c r="F1097" s="338"/>
      <c r="G1097" s="343">
        <f>G1098+G1100</f>
        <v>1604</v>
      </c>
      <c r="H1097" s="343">
        <f>H1098+H1100</f>
        <v>1604</v>
      </c>
      <c r="I1097" s="218"/>
    </row>
    <row r="1098" spans="1:9" ht="78.75" x14ac:dyDescent="0.25">
      <c r="A1098" s="342" t="s">
        <v>143</v>
      </c>
      <c r="B1098" s="336">
        <v>910</v>
      </c>
      <c r="C1098" s="338" t="s">
        <v>134</v>
      </c>
      <c r="D1098" s="338" t="s">
        <v>136</v>
      </c>
      <c r="E1098" s="338" t="s">
        <v>1139</v>
      </c>
      <c r="F1098" s="338" t="s">
        <v>144</v>
      </c>
      <c r="G1098" s="343">
        <f>G1099</f>
        <v>1586</v>
      </c>
      <c r="H1098" s="343">
        <f>H1099</f>
        <v>1586</v>
      </c>
      <c r="I1098" s="218"/>
    </row>
    <row r="1099" spans="1:9" ht="31.5" x14ac:dyDescent="0.25">
      <c r="A1099" s="342" t="s">
        <v>145</v>
      </c>
      <c r="B1099" s="336">
        <v>910</v>
      </c>
      <c r="C1099" s="338" t="s">
        <v>134</v>
      </c>
      <c r="D1099" s="338" t="s">
        <v>136</v>
      </c>
      <c r="E1099" s="338" t="s">
        <v>1139</v>
      </c>
      <c r="F1099" s="338" t="s">
        <v>146</v>
      </c>
      <c r="G1099" s="343">
        <f>1586</f>
        <v>1586</v>
      </c>
      <c r="H1099" s="343">
        <f t="shared" si="81"/>
        <v>1586</v>
      </c>
      <c r="I1099" s="218"/>
    </row>
    <row r="1100" spans="1:9" ht="31.5" x14ac:dyDescent="0.25">
      <c r="A1100" s="342" t="s">
        <v>214</v>
      </c>
      <c r="B1100" s="336">
        <v>910</v>
      </c>
      <c r="C1100" s="338" t="s">
        <v>134</v>
      </c>
      <c r="D1100" s="338" t="s">
        <v>136</v>
      </c>
      <c r="E1100" s="338" t="s">
        <v>1139</v>
      </c>
      <c r="F1100" s="338" t="s">
        <v>148</v>
      </c>
      <c r="G1100" s="343">
        <f>G1101</f>
        <v>18</v>
      </c>
      <c r="H1100" s="343">
        <f>H1101</f>
        <v>18</v>
      </c>
      <c r="I1100" s="218"/>
    </row>
    <row r="1101" spans="1:9" ht="31.5" x14ac:dyDescent="0.25">
      <c r="A1101" s="342" t="s">
        <v>149</v>
      </c>
      <c r="B1101" s="336">
        <v>910</v>
      </c>
      <c r="C1101" s="338" t="s">
        <v>134</v>
      </c>
      <c r="D1101" s="338" t="s">
        <v>136</v>
      </c>
      <c r="E1101" s="338" t="s">
        <v>1139</v>
      </c>
      <c r="F1101" s="338" t="s">
        <v>150</v>
      </c>
      <c r="G1101" s="343">
        <f>18</f>
        <v>18</v>
      </c>
      <c r="H1101" s="343">
        <f t="shared" si="81"/>
        <v>18</v>
      </c>
      <c r="I1101" s="218"/>
    </row>
    <row r="1102" spans="1:9" ht="47.25" x14ac:dyDescent="0.25">
      <c r="A1102" s="342" t="s">
        <v>885</v>
      </c>
      <c r="B1102" s="336">
        <v>910</v>
      </c>
      <c r="C1102" s="338" t="s">
        <v>134</v>
      </c>
      <c r="D1102" s="338" t="s">
        <v>136</v>
      </c>
      <c r="E1102" s="338" t="s">
        <v>1137</v>
      </c>
      <c r="F1102" s="338"/>
      <c r="G1102" s="343">
        <f>G1103</f>
        <v>42</v>
      </c>
      <c r="H1102" s="343">
        <f>H1103</f>
        <v>42</v>
      </c>
      <c r="I1102" s="218"/>
    </row>
    <row r="1103" spans="1:9" ht="78.75" x14ac:dyDescent="0.25">
      <c r="A1103" s="342" t="s">
        <v>143</v>
      </c>
      <c r="B1103" s="336">
        <v>910</v>
      </c>
      <c r="C1103" s="338" t="s">
        <v>134</v>
      </c>
      <c r="D1103" s="338" t="s">
        <v>136</v>
      </c>
      <c r="E1103" s="338" t="s">
        <v>1137</v>
      </c>
      <c r="F1103" s="338" t="s">
        <v>144</v>
      </c>
      <c r="G1103" s="343">
        <f>G1104</f>
        <v>42</v>
      </c>
      <c r="H1103" s="343">
        <f>H1104</f>
        <v>42</v>
      </c>
      <c r="I1103" s="218"/>
    </row>
    <row r="1104" spans="1:9" ht="31.5" x14ac:dyDescent="0.25">
      <c r="A1104" s="342" t="s">
        <v>145</v>
      </c>
      <c r="B1104" s="336">
        <v>910</v>
      </c>
      <c r="C1104" s="338" t="s">
        <v>134</v>
      </c>
      <c r="D1104" s="338" t="s">
        <v>136</v>
      </c>
      <c r="E1104" s="338" t="s">
        <v>1137</v>
      </c>
      <c r="F1104" s="338" t="s">
        <v>146</v>
      </c>
      <c r="G1104" s="343">
        <f>42</f>
        <v>42</v>
      </c>
      <c r="H1104" s="343">
        <f t="shared" si="81"/>
        <v>42</v>
      </c>
      <c r="I1104" s="218"/>
    </row>
    <row r="1105" spans="1:10" ht="15.75" x14ac:dyDescent="0.25">
      <c r="A1105" s="48" t="s">
        <v>603</v>
      </c>
      <c r="B1105" s="48"/>
      <c r="C1105" s="341"/>
      <c r="D1105" s="341"/>
      <c r="E1105" s="341"/>
      <c r="F1105" s="341"/>
      <c r="G1105" s="295">
        <f>G1062+G850+G773+G535+G492+G214+G30+G9</f>
        <v>732085.63199999987</v>
      </c>
      <c r="H1105" s="295">
        <f>H1062+H850+H773+H535+H492+H214+H30+H9</f>
        <v>735832.82</v>
      </c>
      <c r="I1105" s="218"/>
    </row>
    <row r="1106" spans="1:10" x14ac:dyDescent="0.25">
      <c r="A1106" s="50"/>
      <c r="B1106" s="50"/>
      <c r="C1106" s="50"/>
      <c r="D1106" s="50"/>
      <c r="E1106" s="50"/>
      <c r="F1106" s="50"/>
      <c r="G1106" s="50"/>
      <c r="H1106" s="327"/>
    </row>
    <row r="1107" spans="1:10" ht="18.75" hidden="1" x14ac:dyDescent="0.3">
      <c r="A1107" s="50"/>
      <c r="B1107" s="50"/>
      <c r="C1107" s="51"/>
      <c r="D1107" s="51"/>
      <c r="E1107" s="51"/>
      <c r="F1107" s="102" t="s">
        <v>604</v>
      </c>
      <c r="G1107" s="52">
        <f>G1105-G1108</f>
        <v>458882.07399999985</v>
      </c>
      <c r="H1107" s="52">
        <f>H1105-H1108</f>
        <v>465606.31999999995</v>
      </c>
    </row>
    <row r="1108" spans="1:10" ht="18.75" hidden="1" x14ac:dyDescent="0.3">
      <c r="A1108" s="50"/>
      <c r="B1108" s="50"/>
      <c r="C1108" s="51"/>
      <c r="D1108" s="51"/>
      <c r="E1108" s="51"/>
      <c r="F1108" s="102" t="s">
        <v>605</v>
      </c>
      <c r="G1108" s="52">
        <f>G50+G167+G176+G208+G223+G256+G263+G303+G363+G392+G395+G448+G521+G557+G598+G631+G671+G678+G709+G743+G812+G1007+G1014+G919+G270+G187+G84+G1080-44-500-239.82+G610+G507+G203+G367</f>
        <v>273203.55800000002</v>
      </c>
      <c r="H1108" s="52">
        <f>H50+H167+H176+H208+H223+H256+H263+H303+H363+H392+H395+H448+H521+H557+H598+H631+H671+H678+H709+H743+H812+H1007+H1014+H919+H270+H187+H84+H1080-54-500-239.82+H610+H507+H203+H367</f>
        <v>270226.5</v>
      </c>
      <c r="I1108" s="221">
        <v>267446.40000000002</v>
      </c>
      <c r="J1108">
        <v>260319.2</v>
      </c>
    </row>
    <row r="1109" spans="1:10" ht="15.75" hidden="1" x14ac:dyDescent="0.25">
      <c r="A1109" s="50"/>
      <c r="B1109" s="50"/>
      <c r="C1109" s="51"/>
      <c r="D1109" s="53"/>
      <c r="E1109" s="53"/>
      <c r="F1109" s="53"/>
      <c r="G1109" s="103"/>
      <c r="H1109" s="103"/>
      <c r="I1109" s="249">
        <f>I1108-G1108</f>
        <v>-5757.1579999999958</v>
      </c>
      <c r="J1109" s="249">
        <f>J1108-H1108</f>
        <v>-9907.2999999999884</v>
      </c>
    </row>
    <row r="1110" spans="1:10" ht="15.75" hidden="1" x14ac:dyDescent="0.25">
      <c r="A1110" s="50"/>
      <c r="B1110" s="50"/>
      <c r="C1110" s="51"/>
      <c r="D1110" s="53"/>
      <c r="E1110" s="53"/>
      <c r="F1110" s="53"/>
      <c r="G1110" s="326"/>
      <c r="H1110" s="326"/>
    </row>
    <row r="1111" spans="1:10" ht="15.75" hidden="1" x14ac:dyDescent="0.25">
      <c r="A1111" s="50"/>
      <c r="B1111" s="50"/>
      <c r="C1111" s="51"/>
      <c r="D1111" s="53"/>
      <c r="E1111" s="53"/>
      <c r="F1111" s="53"/>
      <c r="G1111" s="51"/>
      <c r="H1111" s="51"/>
    </row>
    <row r="1112" spans="1:10" ht="15.75" hidden="1" x14ac:dyDescent="0.25">
      <c r="A1112" s="50"/>
      <c r="B1112" s="50"/>
      <c r="C1112" s="54">
        <v>1</v>
      </c>
      <c r="D1112" s="53"/>
      <c r="E1112" s="53"/>
      <c r="F1112" s="53"/>
      <c r="G1112" s="55">
        <f>G9+G31+G215+G493+G536+G851+G1063+G774</f>
        <v>142238.12</v>
      </c>
      <c r="H1112" s="55">
        <f>H9+H31+H215+H493+H536+H851+H1063+H774</f>
        <v>147123.01999999999</v>
      </c>
    </row>
    <row r="1113" spans="1:10" ht="15.75" hidden="1" x14ac:dyDescent="0.25">
      <c r="A1113" s="50"/>
      <c r="B1113" s="50"/>
      <c r="C1113" s="54" t="s">
        <v>604</v>
      </c>
      <c r="D1113" s="53"/>
      <c r="E1113" s="53"/>
      <c r="F1113" s="53"/>
      <c r="G1113" s="55">
        <f>G1112-G1114</f>
        <v>136041.82</v>
      </c>
      <c r="H1113" s="55">
        <f>H1112-H1114</f>
        <v>143886.41999999998</v>
      </c>
    </row>
    <row r="1114" spans="1:10" ht="15.75" hidden="1" x14ac:dyDescent="0.25">
      <c r="A1114" s="50"/>
      <c r="B1114" s="50"/>
      <c r="C1114" s="54" t="s">
        <v>605</v>
      </c>
      <c r="D1114" s="53"/>
      <c r="E1114" s="53"/>
      <c r="F1114" s="53"/>
      <c r="G1114" s="55">
        <f>G1080+G521+G223+G84+G50-239.82+G507</f>
        <v>6196.3000000000011</v>
      </c>
      <c r="H1114" s="55">
        <f>H1080+H521+H223+H84+H50-239.82+H507</f>
        <v>3236.6</v>
      </c>
    </row>
    <row r="1115" spans="1:10" ht="15.75" hidden="1" x14ac:dyDescent="0.25">
      <c r="A1115" s="50"/>
      <c r="B1115" s="50"/>
      <c r="C1115" s="54">
        <v>2</v>
      </c>
      <c r="D1115" s="53"/>
      <c r="E1115" s="53"/>
      <c r="F1115" s="53"/>
      <c r="G1115" s="55">
        <f>G134</f>
        <v>0</v>
      </c>
      <c r="H1115" s="55">
        <f>H134</f>
        <v>0</v>
      </c>
    </row>
    <row r="1116" spans="1:10" ht="15.75" hidden="1" x14ac:dyDescent="0.25">
      <c r="A1116" s="50"/>
      <c r="B1116" s="50"/>
      <c r="C1116" s="54">
        <v>3</v>
      </c>
      <c r="D1116" s="53"/>
      <c r="E1116" s="53"/>
      <c r="F1116" s="53"/>
      <c r="G1116" s="55">
        <f>G865+G141</f>
        <v>8029</v>
      </c>
      <c r="H1116" s="55">
        <f>H865+H141</f>
        <v>8029</v>
      </c>
    </row>
    <row r="1117" spans="1:10" ht="15.75" hidden="1" x14ac:dyDescent="0.25">
      <c r="A1117" s="50"/>
      <c r="B1117" s="50"/>
      <c r="C1117" s="54">
        <v>4</v>
      </c>
      <c r="D1117" s="53"/>
      <c r="E1117" s="53"/>
      <c r="F1117" s="53"/>
      <c r="G1117" s="55">
        <f>G160+G872+G248</f>
        <v>7611.8</v>
      </c>
      <c r="H1117" s="55">
        <f>H160+H872+H248</f>
        <v>7579.5</v>
      </c>
    </row>
    <row r="1118" spans="1:10" ht="15.75" hidden="1" x14ac:dyDescent="0.25">
      <c r="A1118" s="50"/>
      <c r="B1118" s="50"/>
      <c r="C1118" s="54" t="s">
        <v>604</v>
      </c>
      <c r="D1118" s="53"/>
      <c r="E1118" s="53"/>
      <c r="F1118" s="53"/>
      <c r="G1118" s="55">
        <f>G1117-G1119</f>
        <v>6568</v>
      </c>
      <c r="H1118" s="55">
        <f>H1117-H1119</f>
        <v>6657</v>
      </c>
    </row>
    <row r="1119" spans="1:10" ht="15.75" hidden="1" x14ac:dyDescent="0.25">
      <c r="A1119" s="50"/>
      <c r="B1119" s="50"/>
      <c r="C1119" s="54" t="s">
        <v>605</v>
      </c>
      <c r="D1119" s="53"/>
      <c r="E1119" s="53"/>
      <c r="F1119" s="53"/>
      <c r="G1119" s="55">
        <f>G176+G256+G263+G270+G187+G167</f>
        <v>1043.8</v>
      </c>
      <c r="H1119" s="55">
        <f>H176+H256+H263+H270+H187+H167</f>
        <v>922.5</v>
      </c>
    </row>
    <row r="1120" spans="1:10" ht="15.75" hidden="1" x14ac:dyDescent="0.25">
      <c r="A1120" s="50"/>
      <c r="B1120" s="50"/>
      <c r="C1120" s="54">
        <v>5</v>
      </c>
      <c r="D1120" s="53"/>
      <c r="E1120" s="53"/>
      <c r="F1120" s="53"/>
      <c r="G1120" s="55">
        <f>G891+G525</f>
        <v>38717.5</v>
      </c>
      <c r="H1120" s="55">
        <f>H891+H525</f>
        <v>44867.9</v>
      </c>
    </row>
    <row r="1121" spans="1:8" ht="15.75" hidden="1" x14ac:dyDescent="0.25">
      <c r="A1121" s="50"/>
      <c r="B1121" s="50"/>
      <c r="C1121" s="54" t="s">
        <v>604</v>
      </c>
      <c r="D1121" s="53"/>
      <c r="E1121" s="53"/>
      <c r="F1121" s="53"/>
      <c r="G1121" s="55">
        <f>G1120-G1122</f>
        <v>36803</v>
      </c>
      <c r="H1121" s="55">
        <f>H1120-H1122</f>
        <v>35561.4</v>
      </c>
    </row>
    <row r="1122" spans="1:8" ht="15.75" hidden="1" x14ac:dyDescent="0.25">
      <c r="A1122" s="50"/>
      <c r="B1122" s="50"/>
      <c r="C1122" s="54" t="s">
        <v>605</v>
      </c>
      <c r="D1122" s="53"/>
      <c r="E1122" s="53"/>
      <c r="F1122" s="53"/>
      <c r="G1122" s="55">
        <f>G919+G1007+G1016+G897-500</f>
        <v>1914.5</v>
      </c>
      <c r="H1122" s="55">
        <f>H919+H1007+H1016+H897-500</f>
        <v>9306.5</v>
      </c>
    </row>
    <row r="1123" spans="1:8" ht="15.75" hidden="1" x14ac:dyDescent="0.25">
      <c r="A1123" s="50"/>
      <c r="B1123" s="50"/>
      <c r="C1123" s="54">
        <v>7</v>
      </c>
      <c r="D1123" s="53"/>
      <c r="E1123" s="53"/>
      <c r="F1123" s="53"/>
      <c r="G1123" s="55">
        <f>G546+G277</f>
        <v>381259.7</v>
      </c>
      <c r="H1123" s="55">
        <f>H546+H277</f>
        <v>381268.2</v>
      </c>
    </row>
    <row r="1124" spans="1:8" ht="15.75" hidden="1" x14ac:dyDescent="0.25">
      <c r="A1124" s="50"/>
      <c r="B1124" s="50"/>
      <c r="C1124" s="54" t="s">
        <v>604</v>
      </c>
      <c r="D1124" s="53"/>
      <c r="E1124" s="53"/>
      <c r="F1124" s="53"/>
      <c r="G1124" s="55">
        <f>G1123-G1125</f>
        <v>131427.69999999995</v>
      </c>
      <c r="H1124" s="55">
        <f>H1123-H1125</f>
        <v>131427.69999999995</v>
      </c>
    </row>
    <row r="1125" spans="1:8" ht="15.75" hidden="1" x14ac:dyDescent="0.25">
      <c r="A1125" s="50"/>
      <c r="B1125" s="50"/>
      <c r="C1125" s="54" t="s">
        <v>605</v>
      </c>
      <c r="D1125" s="53"/>
      <c r="E1125" s="53"/>
      <c r="F1125" s="53"/>
      <c r="G1125" s="55">
        <f>G743+G709+G678+G671+G631+G598+G557+G303+G610</f>
        <v>249832.00000000006</v>
      </c>
      <c r="H1125" s="55">
        <f>H743+H709+H678+H671+H631+H598+H557+H303+H610</f>
        <v>249840.50000000006</v>
      </c>
    </row>
    <row r="1126" spans="1:8" ht="15.75" hidden="1" x14ac:dyDescent="0.25">
      <c r="A1126" s="50"/>
      <c r="B1126" s="50"/>
      <c r="C1126" s="54">
        <v>8</v>
      </c>
      <c r="D1126" s="53"/>
      <c r="E1126" s="53"/>
      <c r="F1126" s="53"/>
      <c r="G1126" s="55">
        <f>G341</f>
        <v>70268.512000000002</v>
      </c>
      <c r="H1126" s="55">
        <f>H341</f>
        <v>67994.2</v>
      </c>
    </row>
    <row r="1127" spans="1:8" ht="15.75" hidden="1" x14ac:dyDescent="0.25">
      <c r="A1127" s="50"/>
      <c r="B1127" s="50"/>
      <c r="C1127" s="54" t="s">
        <v>604</v>
      </c>
      <c r="D1127" s="53"/>
      <c r="E1127" s="53"/>
      <c r="F1127" s="53"/>
      <c r="G1127" s="55">
        <f>G1126-G1128</f>
        <v>65486.454000000005</v>
      </c>
      <c r="H1127" s="55">
        <f>H1126-H1128</f>
        <v>65508.7</v>
      </c>
    </row>
    <row r="1128" spans="1:8" ht="15.75" hidden="1" x14ac:dyDescent="0.25">
      <c r="A1128" s="50"/>
      <c r="B1128" s="50"/>
      <c r="C1128" s="54" t="s">
        <v>605</v>
      </c>
      <c r="D1128" s="53"/>
      <c r="E1128" s="53"/>
      <c r="F1128" s="53"/>
      <c r="G1128" s="55">
        <f>G395+G392+G363+G367</f>
        <v>4782.058</v>
      </c>
      <c r="H1128" s="55">
        <f>H395+H392+H363+H367</f>
        <v>2485.5</v>
      </c>
    </row>
    <row r="1129" spans="1:8" ht="15.75" hidden="1" x14ac:dyDescent="0.25">
      <c r="A1129" s="50"/>
      <c r="B1129" s="50"/>
      <c r="C1129" s="54">
        <v>10</v>
      </c>
      <c r="D1129" s="53"/>
      <c r="E1129" s="53"/>
      <c r="F1129" s="53"/>
      <c r="G1129" s="55">
        <f>G1054+G444+G190</f>
        <v>19998.400000000001</v>
      </c>
      <c r="H1129" s="55">
        <f>H1054+H444+H190</f>
        <v>15008.4</v>
      </c>
    </row>
    <row r="1130" spans="1:8" ht="15.75" hidden="1" x14ac:dyDescent="0.25">
      <c r="A1130" s="50"/>
      <c r="B1130" s="50"/>
      <c r="C1130" s="54" t="s">
        <v>604</v>
      </c>
      <c r="D1130" s="53"/>
      <c r="E1130" s="53"/>
      <c r="F1130" s="53"/>
      <c r="G1130" s="55">
        <f>G1129-G1131</f>
        <v>11377.000000000002</v>
      </c>
      <c r="H1130" s="55">
        <f>H1129-H1131</f>
        <v>11387</v>
      </c>
    </row>
    <row r="1131" spans="1:8" ht="15.75" hidden="1" x14ac:dyDescent="0.25">
      <c r="A1131" s="50"/>
      <c r="B1131" s="50"/>
      <c r="C1131" s="54" t="s">
        <v>605</v>
      </c>
      <c r="D1131" s="53"/>
      <c r="E1131" s="53"/>
      <c r="F1131" s="53"/>
      <c r="G1131" s="55">
        <f>G208+G449-44+G203</f>
        <v>8621.4</v>
      </c>
      <c r="H1131" s="55">
        <f>H208+H449-54+H203</f>
        <v>3621.4</v>
      </c>
    </row>
    <row r="1132" spans="1:8" ht="15.75" hidden="1" x14ac:dyDescent="0.25">
      <c r="A1132" s="50"/>
      <c r="B1132" s="50"/>
      <c r="C1132" s="54">
        <v>11</v>
      </c>
      <c r="D1132" s="53"/>
      <c r="E1132" s="53"/>
      <c r="F1132" s="53"/>
      <c r="G1132" s="55">
        <f>G781</f>
        <v>58483.6</v>
      </c>
      <c r="H1132" s="55">
        <f>H781</f>
        <v>58483.6</v>
      </c>
    </row>
    <row r="1133" spans="1:8" ht="15.75" hidden="1" x14ac:dyDescent="0.25">
      <c r="A1133" s="50"/>
      <c r="B1133" s="50"/>
      <c r="C1133" s="54" t="s">
        <v>604</v>
      </c>
      <c r="D1133" s="53"/>
      <c r="E1133" s="53"/>
      <c r="F1133" s="53"/>
      <c r="G1133" s="55">
        <f>G1132-G1134</f>
        <v>57670.1</v>
      </c>
      <c r="H1133" s="55">
        <f>H1132-H1134</f>
        <v>57670.1</v>
      </c>
    </row>
    <row r="1134" spans="1:8" ht="15.75" hidden="1" x14ac:dyDescent="0.25">
      <c r="A1134" s="50"/>
      <c r="B1134" s="50"/>
      <c r="C1134" s="54" t="s">
        <v>605</v>
      </c>
      <c r="D1134" s="53"/>
      <c r="E1134" s="53"/>
      <c r="F1134" s="53"/>
      <c r="G1134" s="55">
        <f>G812</f>
        <v>813.5</v>
      </c>
      <c r="H1134" s="55">
        <f>H812</f>
        <v>813.5</v>
      </c>
    </row>
    <row r="1135" spans="1:8" ht="15.75" hidden="1" x14ac:dyDescent="0.25">
      <c r="A1135" s="50"/>
      <c r="B1135" s="50"/>
      <c r="C1135" s="54">
        <v>12</v>
      </c>
      <c r="D1135" s="53"/>
      <c r="E1135" s="53"/>
      <c r="F1135" s="53"/>
      <c r="G1135" s="55">
        <f>G473</f>
        <v>5479</v>
      </c>
      <c r="H1135" s="55">
        <f>H473</f>
        <v>5479</v>
      </c>
    </row>
    <row r="1136" spans="1:8" ht="15.75" hidden="1" x14ac:dyDescent="0.25">
      <c r="A1136" s="50"/>
      <c r="B1136" s="50"/>
      <c r="C1136" s="55"/>
      <c r="D1136" s="53"/>
      <c r="E1136" s="53"/>
      <c r="F1136" s="53"/>
      <c r="G1136" s="104">
        <f>G1112+G1115+G1116+G1117+G1120+G1123+G1126+G1129+G1132+G1135</f>
        <v>732085.63199999998</v>
      </c>
      <c r="H1136" s="104">
        <f>H1112+H1115+H1116+H1117+H1120+H1123+H1126+H1129+H1132+H1135</f>
        <v>735832.82</v>
      </c>
    </row>
    <row r="1137" spans="1:8" ht="15.75" hidden="1" x14ac:dyDescent="0.25">
      <c r="A1137" s="50"/>
      <c r="B1137" s="50"/>
      <c r="C1137" s="54" t="s">
        <v>604</v>
      </c>
      <c r="D1137" s="53"/>
      <c r="E1137" s="53"/>
      <c r="F1137" s="53"/>
      <c r="G1137" s="104">
        <f>G1113+G1115+G1116+G1118+G1121+G1124+G1127+G1130+G1133+G1135</f>
        <v>458882.07399999996</v>
      </c>
      <c r="H1137" s="104">
        <f>H1113+H1115+H1116+H1118+H1121+H1124+H1127+H1130+H1133+H1135</f>
        <v>465606.31999999989</v>
      </c>
    </row>
    <row r="1138" spans="1:8" ht="15.75" hidden="1" x14ac:dyDescent="0.25">
      <c r="A1138" s="50"/>
      <c r="B1138" s="50"/>
      <c r="C1138" s="54" t="s">
        <v>605</v>
      </c>
      <c r="D1138" s="53"/>
      <c r="E1138" s="53"/>
      <c r="F1138" s="53"/>
      <c r="G1138" s="104">
        <f>G1136-G1137</f>
        <v>273203.55800000002</v>
      </c>
      <c r="H1138" s="104">
        <f>H1136-H1137</f>
        <v>270226.50000000006</v>
      </c>
    </row>
    <row r="1139" spans="1:8" hidden="1" x14ac:dyDescent="0.25">
      <c r="G1139" s="219"/>
      <c r="H1139" s="219"/>
    </row>
    <row r="1140" spans="1:8" hidden="1" x14ac:dyDescent="0.25">
      <c r="D1140" s="332" t="s">
        <v>606</v>
      </c>
      <c r="E1140" s="332">
        <v>50</v>
      </c>
      <c r="G1140" s="219">
        <f>G880</f>
        <v>3189</v>
      </c>
      <c r="H1140" s="219">
        <f>H880</f>
        <v>3278</v>
      </c>
    </row>
    <row r="1141" spans="1:8" hidden="1" x14ac:dyDescent="0.25">
      <c r="E1141" s="332">
        <v>51</v>
      </c>
      <c r="G1141" s="219">
        <f>G217+G250+G322+G438+G446</f>
        <v>3474</v>
      </c>
      <c r="H1141" s="219">
        <f>H217+H250+H322+H438+H446</f>
        <v>3362.7</v>
      </c>
    </row>
    <row r="1142" spans="1:8" hidden="1" x14ac:dyDescent="0.25">
      <c r="E1142" s="332">
        <v>52</v>
      </c>
      <c r="G1142" s="219">
        <f>G548+G619+G703+G737</f>
        <v>342316.70000000007</v>
      </c>
      <c r="H1142" s="219">
        <f>H548+H619+H703+H737</f>
        <v>342325.20000000007</v>
      </c>
    </row>
    <row r="1143" spans="1:8" hidden="1" x14ac:dyDescent="0.25">
      <c r="E1143" s="332">
        <v>53</v>
      </c>
      <c r="G1143" s="219">
        <f>G182</f>
        <v>0</v>
      </c>
      <c r="H1143" s="219">
        <f>H182</f>
        <v>0</v>
      </c>
    </row>
    <row r="1144" spans="1:8" hidden="1" x14ac:dyDescent="0.25">
      <c r="E1144" s="332">
        <v>54</v>
      </c>
      <c r="G1144" s="219">
        <f>G1075+G69</f>
        <v>549</v>
      </c>
      <c r="H1144" s="219">
        <f>H1075+H69</f>
        <v>549</v>
      </c>
    </row>
    <row r="1145" spans="1:8" hidden="1" x14ac:dyDescent="0.25">
      <c r="E1145" s="332">
        <v>55</v>
      </c>
      <c r="G1145" s="219">
        <f>G198</f>
        <v>5010</v>
      </c>
      <c r="H1145" s="219">
        <f>H198</f>
        <v>10</v>
      </c>
    </row>
    <row r="1146" spans="1:8" hidden="1" x14ac:dyDescent="0.25">
      <c r="E1146" s="332">
        <v>56</v>
      </c>
      <c r="G1146" s="219"/>
      <c r="H1146" s="219"/>
    </row>
    <row r="1147" spans="1:8" hidden="1" x14ac:dyDescent="0.25">
      <c r="E1147" s="332">
        <v>57</v>
      </c>
      <c r="G1147" s="219">
        <f>G783+G842</f>
        <v>48187.5</v>
      </c>
      <c r="H1147" s="219">
        <f>H783+H842</f>
        <v>48187.5</v>
      </c>
    </row>
    <row r="1148" spans="1:8" hidden="1" x14ac:dyDescent="0.25">
      <c r="E1148" s="332">
        <v>58</v>
      </c>
      <c r="G1148" s="219">
        <f>G279+G344+G371</f>
        <v>68780.012000000002</v>
      </c>
      <c r="H1148" s="219">
        <f>H279+H344+H371</f>
        <v>66505.7</v>
      </c>
    </row>
    <row r="1149" spans="1:8" hidden="1" x14ac:dyDescent="0.25">
      <c r="E1149" s="332">
        <v>59</v>
      </c>
      <c r="G1149" s="219">
        <f>G601+G692+G1049+G405</f>
        <v>0</v>
      </c>
      <c r="H1149" s="219">
        <f>H601+H692+H1049+H405</f>
        <v>0</v>
      </c>
    </row>
    <row r="1150" spans="1:8" hidden="1" x14ac:dyDescent="0.25">
      <c r="E1150" s="332">
        <v>60</v>
      </c>
      <c r="G1150" s="219">
        <f>G976</f>
        <v>3244.5</v>
      </c>
      <c r="H1150" s="219">
        <f>H976</f>
        <v>10636.5</v>
      </c>
    </row>
    <row r="1151" spans="1:8" hidden="1" x14ac:dyDescent="0.25">
      <c r="E1151" s="332">
        <v>61</v>
      </c>
      <c r="G1151" s="219">
        <f>G162</f>
        <v>306</v>
      </c>
      <c r="H1151" s="219">
        <f>H162</f>
        <v>306</v>
      </c>
    </row>
    <row r="1152" spans="1:8" hidden="1" x14ac:dyDescent="0.25">
      <c r="E1152" s="332">
        <v>62</v>
      </c>
      <c r="G1152" s="219">
        <f>G936</f>
        <v>700</v>
      </c>
      <c r="H1152" s="219">
        <f>H936</f>
        <v>700</v>
      </c>
    </row>
    <row r="1153" spans="1:8" hidden="1" x14ac:dyDescent="0.25">
      <c r="E1153" s="332">
        <v>63</v>
      </c>
      <c r="G1153" s="219">
        <f>G226+G538+G776</f>
        <v>175</v>
      </c>
      <c r="H1153" s="219">
        <f>H226+H538+H776</f>
        <v>175</v>
      </c>
    </row>
    <row r="1154" spans="1:8" hidden="1" x14ac:dyDescent="0.25">
      <c r="E1154" s="332">
        <v>64</v>
      </c>
      <c r="G1154" s="219">
        <f>G115+G316+G410+G613+G697+G731+G816+G243+G487</f>
        <v>3147.6</v>
      </c>
      <c r="H1154" s="219">
        <f>H115+H316+H410+H613+H697+H731+H816+H243+H487</f>
        <v>3147.6</v>
      </c>
    </row>
    <row r="1155" spans="1:8" hidden="1" x14ac:dyDescent="0.25">
      <c r="E1155" s="332">
        <v>65</v>
      </c>
      <c r="G1155" s="219">
        <f>G1014</f>
        <v>500</v>
      </c>
      <c r="H1155" s="219">
        <f>H1014</f>
        <v>500</v>
      </c>
    </row>
    <row r="1156" spans="1:8" hidden="1" x14ac:dyDescent="0.25">
      <c r="E1156" s="332">
        <v>66</v>
      </c>
      <c r="G1156" s="219">
        <f>G520</f>
        <v>3266.2200000000003</v>
      </c>
      <c r="H1156" s="219">
        <f>H520</f>
        <v>239.82000000000016</v>
      </c>
    </row>
    <row r="1157" spans="1:8" hidden="1" x14ac:dyDescent="0.25">
      <c r="E1157" s="332">
        <v>67</v>
      </c>
      <c r="G1157" s="219">
        <f>G124</f>
        <v>40</v>
      </c>
      <c r="H1157" s="219">
        <f>H124</f>
        <v>40</v>
      </c>
    </row>
    <row r="1158" spans="1:8" hidden="1" x14ac:dyDescent="0.25">
      <c r="E1158" s="332">
        <v>69</v>
      </c>
      <c r="G1158" s="116">
        <f>G129</f>
        <v>100</v>
      </c>
      <c r="H1158" s="116">
        <f>H129</f>
        <v>100</v>
      </c>
    </row>
    <row r="1159" spans="1:8" s="217" customFormat="1" hidden="1" x14ac:dyDescent="0.25">
      <c r="A1159" s="332"/>
      <c r="B1159" s="332"/>
      <c r="C1159" s="332"/>
      <c r="D1159" s="332"/>
      <c r="E1159" s="332">
        <v>70</v>
      </c>
      <c r="F1159" s="332"/>
      <c r="G1159" s="116">
        <f>G965</f>
        <v>235</v>
      </c>
      <c r="H1159" s="116">
        <f>H965</f>
        <v>204</v>
      </c>
    </row>
    <row r="1160" spans="1:8" hidden="1" x14ac:dyDescent="0.25">
      <c r="G1160" s="219">
        <f>SUM(G1140:G1159)</f>
        <v>483220.53200000001</v>
      </c>
      <c r="H1160" s="219">
        <f>SUM(H1140:H1159)</f>
        <v>480267.02000000008</v>
      </c>
    </row>
    <row r="1161" spans="1:8" hidden="1" x14ac:dyDescent="0.25"/>
  </sheetData>
  <mergeCells count="2">
    <mergeCell ref="A4:F4"/>
    <mergeCell ref="A5:H5"/>
  </mergeCells>
  <pageMargins left="0.23622047244094491" right="0.23622047244094491" top="0.74803149606299213" bottom="0.74803149606299213" header="0.31496062992125984" footer="0.31496062992125984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4"/>
  <sheetViews>
    <sheetView view="pageBreakPreview" topLeftCell="A266" zoomScaleNormal="100" zoomScaleSheetLayoutView="100" workbookViewId="0">
      <selection activeCell="G213" sqref="G213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5.85546875" style="218" customWidth="1"/>
    <col min="8" max="8" width="14.42578125" style="332" customWidth="1"/>
    <col min="9" max="9" width="12.7109375" style="332" customWidth="1"/>
  </cols>
  <sheetData>
    <row r="1" spans="1:9" ht="15.75" x14ac:dyDescent="0.25">
      <c r="A1" s="218"/>
      <c r="B1" s="218"/>
      <c r="C1" s="218"/>
      <c r="D1" s="218"/>
      <c r="E1" s="218"/>
      <c r="F1" s="218"/>
      <c r="G1" s="130"/>
      <c r="H1" s="378" t="s">
        <v>124</v>
      </c>
      <c r="I1" s="130"/>
    </row>
    <row r="2" spans="1:9" ht="15.75" x14ac:dyDescent="0.25">
      <c r="A2" s="218"/>
      <c r="B2" s="218"/>
      <c r="C2" s="218"/>
      <c r="D2" s="218"/>
      <c r="E2" s="218"/>
      <c r="F2" s="218"/>
      <c r="G2" s="130"/>
      <c r="H2" s="378" t="s">
        <v>1552</v>
      </c>
      <c r="I2" s="130"/>
    </row>
    <row r="3" spans="1:9" ht="15.75" x14ac:dyDescent="0.25">
      <c r="A3" s="218"/>
      <c r="B3" s="218"/>
      <c r="C3" s="218"/>
      <c r="D3" s="218"/>
      <c r="E3" s="218"/>
      <c r="F3" s="62"/>
      <c r="G3" s="366"/>
      <c r="H3" s="379" t="s">
        <v>1579</v>
      </c>
      <c r="I3" s="366"/>
    </row>
    <row r="4" spans="1:9" s="331" customFormat="1" ht="15.75" x14ac:dyDescent="0.25">
      <c r="A4" s="332"/>
      <c r="B4" s="332"/>
      <c r="C4" s="332"/>
      <c r="D4" s="332"/>
      <c r="E4" s="332"/>
      <c r="F4" s="62"/>
      <c r="G4" s="366"/>
      <c r="H4" s="379" t="s">
        <v>1580</v>
      </c>
      <c r="I4" s="366"/>
    </row>
    <row r="5" spans="1:9" s="331" customFormat="1" ht="15.75" x14ac:dyDescent="0.25">
      <c r="A5" s="332"/>
      <c r="B5" s="332"/>
      <c r="C5" s="332"/>
      <c r="D5" s="332"/>
      <c r="E5" s="332"/>
      <c r="F5" s="62"/>
      <c r="G5" s="366"/>
      <c r="H5" s="379" t="s">
        <v>1581</v>
      </c>
      <c r="I5" s="366"/>
    </row>
    <row r="6" spans="1:9" s="217" customFormat="1" ht="15.75" x14ac:dyDescent="0.25">
      <c r="A6" s="218"/>
      <c r="B6" s="218"/>
      <c r="C6" s="218"/>
      <c r="D6" s="218"/>
      <c r="E6" s="218"/>
      <c r="F6" s="62"/>
      <c r="G6" s="130"/>
      <c r="H6" s="130"/>
      <c r="I6" s="130"/>
    </row>
    <row r="7" spans="1:9" ht="38.25" customHeight="1" x14ac:dyDescent="0.25">
      <c r="A7" s="392" t="s">
        <v>1556</v>
      </c>
      <c r="B7" s="392"/>
      <c r="C7" s="392"/>
      <c r="D7" s="392"/>
      <c r="E7" s="392"/>
      <c r="F7" s="392"/>
      <c r="G7" s="392"/>
      <c r="H7" s="392"/>
      <c r="I7" s="392"/>
    </row>
    <row r="8" spans="1:9" ht="16.5" x14ac:dyDescent="0.25">
      <c r="A8" s="260"/>
      <c r="B8" s="260"/>
      <c r="C8" s="260"/>
      <c r="D8" s="260"/>
      <c r="E8" s="260"/>
      <c r="F8" s="260"/>
    </row>
    <row r="9" spans="1:9" ht="15.75" x14ac:dyDescent="0.25">
      <c r="A9" s="62"/>
      <c r="B9" s="62"/>
      <c r="C9" s="62"/>
      <c r="D9" s="62"/>
      <c r="E9" s="64"/>
      <c r="F9" s="64"/>
      <c r="G9" s="194"/>
      <c r="H9" s="194"/>
      <c r="I9" s="194"/>
    </row>
    <row r="10" spans="1:9" ht="63" x14ac:dyDescent="0.25">
      <c r="A10" s="66" t="s">
        <v>609</v>
      </c>
      <c r="B10" s="66" t="s">
        <v>634</v>
      </c>
      <c r="C10" s="66" t="s">
        <v>635</v>
      </c>
      <c r="D10" s="66" t="s">
        <v>636</v>
      </c>
      <c r="E10" s="66" t="s">
        <v>637</v>
      </c>
      <c r="F10" s="66" t="s">
        <v>638</v>
      </c>
      <c r="G10" s="239" t="s">
        <v>1547</v>
      </c>
      <c r="H10" s="215" t="s">
        <v>1548</v>
      </c>
      <c r="I10" s="215" t="s">
        <v>1549</v>
      </c>
    </row>
    <row r="11" spans="1:9" ht="47.25" x14ac:dyDescent="0.25">
      <c r="A11" s="58" t="s">
        <v>1180</v>
      </c>
      <c r="B11" s="7" t="s">
        <v>526</v>
      </c>
      <c r="C11" s="7"/>
      <c r="D11" s="7"/>
      <c r="E11" s="7"/>
      <c r="F11" s="7"/>
      <c r="G11" s="4">
        <f>G12+G19</f>
        <v>3446</v>
      </c>
      <c r="H11" s="4">
        <f t="shared" ref="H11" si="0">H12+H19</f>
        <v>1556.37</v>
      </c>
      <c r="I11" s="4">
        <f>H11/G11*100</f>
        <v>45.164538595473012</v>
      </c>
    </row>
    <row r="12" spans="1:9" s="217" customFormat="1" ht="31.5" hidden="1" x14ac:dyDescent="0.25">
      <c r="A12" s="34" t="s">
        <v>1150</v>
      </c>
      <c r="B12" s="7" t="s">
        <v>1094</v>
      </c>
      <c r="C12" s="40"/>
      <c r="D12" s="40"/>
      <c r="E12" s="40"/>
      <c r="F12" s="40"/>
      <c r="G12" s="6">
        <f>G15</f>
        <v>0</v>
      </c>
      <c r="H12" s="6">
        <f t="shared" ref="H12:I12" si="1">H15</f>
        <v>0</v>
      </c>
      <c r="I12" s="6" t="e">
        <f t="shared" si="1"/>
        <v>#DIV/0!</v>
      </c>
    </row>
    <row r="13" spans="1:9" ht="15.75" hidden="1" x14ac:dyDescent="0.25">
      <c r="A13" s="29" t="s">
        <v>248</v>
      </c>
      <c r="B13" s="40" t="s">
        <v>1094</v>
      </c>
      <c r="C13" s="40" t="s">
        <v>166</v>
      </c>
      <c r="D13" s="40"/>
      <c r="E13" s="40"/>
      <c r="F13" s="40"/>
      <c r="G13" s="6">
        <f t="shared" ref="G13:I16" si="2">G14</f>
        <v>0</v>
      </c>
      <c r="H13" s="6">
        <f t="shared" si="2"/>
        <v>0</v>
      </c>
      <c r="I13" s="6" t="e">
        <f t="shared" si="2"/>
        <v>#DIV/0!</v>
      </c>
    </row>
    <row r="14" spans="1:9" ht="15.75" hidden="1" x14ac:dyDescent="0.25">
      <c r="A14" s="29" t="s">
        <v>524</v>
      </c>
      <c r="B14" s="40" t="s">
        <v>1094</v>
      </c>
      <c r="C14" s="40" t="s">
        <v>166</v>
      </c>
      <c r="D14" s="40" t="s">
        <v>235</v>
      </c>
      <c r="E14" s="40"/>
      <c r="F14" s="40"/>
      <c r="G14" s="6">
        <f>G15</f>
        <v>0</v>
      </c>
      <c r="H14" s="6">
        <f t="shared" si="2"/>
        <v>0</v>
      </c>
      <c r="I14" s="6" t="e">
        <f t="shared" si="2"/>
        <v>#DIV/0!</v>
      </c>
    </row>
    <row r="15" spans="1:9" s="217" customFormat="1" ht="15.75" hidden="1" x14ac:dyDescent="0.25">
      <c r="A15" s="29" t="s">
        <v>1152</v>
      </c>
      <c r="B15" s="40" t="s">
        <v>1151</v>
      </c>
      <c r="C15" s="40" t="s">
        <v>166</v>
      </c>
      <c r="D15" s="40" t="s">
        <v>235</v>
      </c>
      <c r="E15" s="40"/>
      <c r="F15" s="40"/>
      <c r="G15" s="6">
        <f>G16</f>
        <v>0</v>
      </c>
      <c r="H15" s="6">
        <f t="shared" si="2"/>
        <v>0</v>
      </c>
      <c r="I15" s="6" t="e">
        <f t="shared" si="2"/>
        <v>#DIV/0!</v>
      </c>
    </row>
    <row r="16" spans="1:9" s="217" customFormat="1" ht="31.5" hidden="1" x14ac:dyDescent="0.25">
      <c r="A16" s="25" t="s">
        <v>147</v>
      </c>
      <c r="B16" s="40" t="s">
        <v>1151</v>
      </c>
      <c r="C16" s="40" t="s">
        <v>166</v>
      </c>
      <c r="D16" s="40" t="s">
        <v>235</v>
      </c>
      <c r="E16" s="40" t="s">
        <v>148</v>
      </c>
      <c r="F16" s="40"/>
      <c r="G16" s="6">
        <f>G17</f>
        <v>0</v>
      </c>
      <c r="H16" s="6">
        <f t="shared" si="2"/>
        <v>0</v>
      </c>
      <c r="I16" s="6" t="e">
        <f t="shared" si="2"/>
        <v>#DIV/0!</v>
      </c>
    </row>
    <row r="17" spans="1:9" s="217" customFormat="1" ht="31.5" hidden="1" x14ac:dyDescent="0.25">
      <c r="A17" s="25" t="s">
        <v>149</v>
      </c>
      <c r="B17" s="40" t="s">
        <v>1151</v>
      </c>
      <c r="C17" s="40" t="s">
        <v>166</v>
      </c>
      <c r="D17" s="40" t="s">
        <v>235</v>
      </c>
      <c r="E17" s="40" t="s">
        <v>150</v>
      </c>
      <c r="F17" s="40"/>
      <c r="G17" s="6">
        <f>'Пр.4 ведом.20'!G923</f>
        <v>0</v>
      </c>
      <c r="H17" s="6">
        <f>'Пр.4 ведом.20'!H923</f>
        <v>0</v>
      </c>
      <c r="I17" s="6" t="e">
        <f>'Пр.4 ведом.20'!I923</f>
        <v>#DIV/0!</v>
      </c>
    </row>
    <row r="18" spans="1:9" s="217" customFormat="1" ht="31.5" hidden="1" x14ac:dyDescent="0.25">
      <c r="A18" s="45" t="s">
        <v>640</v>
      </c>
      <c r="B18" s="40" t="s">
        <v>1151</v>
      </c>
      <c r="C18" s="40" t="s">
        <v>166</v>
      </c>
      <c r="D18" s="40" t="s">
        <v>235</v>
      </c>
      <c r="E18" s="40" t="s">
        <v>150</v>
      </c>
      <c r="F18" s="40" t="s">
        <v>641</v>
      </c>
      <c r="G18" s="6">
        <f>G17</f>
        <v>0</v>
      </c>
      <c r="H18" s="6">
        <f t="shared" ref="H18:I18" si="3">H17</f>
        <v>0</v>
      </c>
      <c r="I18" s="6" t="e">
        <f t="shared" si="3"/>
        <v>#DIV/0!</v>
      </c>
    </row>
    <row r="19" spans="1:9" s="217" customFormat="1" ht="31.5" x14ac:dyDescent="0.25">
      <c r="A19" s="34" t="s">
        <v>1237</v>
      </c>
      <c r="B19" s="24" t="s">
        <v>1095</v>
      </c>
      <c r="C19" s="40"/>
      <c r="D19" s="40"/>
      <c r="E19" s="40"/>
      <c r="F19" s="40"/>
      <c r="G19" s="6">
        <f>G20</f>
        <v>3446</v>
      </c>
      <c r="H19" s="6">
        <f t="shared" ref="H19:H21" si="4">H20</f>
        <v>1556.37</v>
      </c>
      <c r="I19" s="6">
        <f t="shared" ref="I19:I82" si="5">H19/G19*100</f>
        <v>45.164538595473012</v>
      </c>
    </row>
    <row r="20" spans="1:9" s="217" customFormat="1" ht="15.75" x14ac:dyDescent="0.25">
      <c r="A20" s="29" t="s">
        <v>248</v>
      </c>
      <c r="B20" s="40" t="s">
        <v>1095</v>
      </c>
      <c r="C20" s="40" t="s">
        <v>166</v>
      </c>
      <c r="D20" s="40"/>
      <c r="E20" s="40"/>
      <c r="F20" s="40"/>
      <c r="G20" s="6">
        <f>G21</f>
        <v>3446</v>
      </c>
      <c r="H20" s="6">
        <f t="shared" si="4"/>
        <v>1556.37</v>
      </c>
      <c r="I20" s="6">
        <f t="shared" si="5"/>
        <v>45.164538595473012</v>
      </c>
    </row>
    <row r="21" spans="1:9" s="217" customFormat="1" ht="15.75" x14ac:dyDescent="0.25">
      <c r="A21" s="29" t="s">
        <v>524</v>
      </c>
      <c r="B21" s="40" t="s">
        <v>1095</v>
      </c>
      <c r="C21" s="40" t="s">
        <v>166</v>
      </c>
      <c r="D21" s="40" t="s">
        <v>235</v>
      </c>
      <c r="E21" s="40"/>
      <c r="F21" s="40"/>
      <c r="G21" s="6">
        <f>G22</f>
        <v>3446</v>
      </c>
      <c r="H21" s="6">
        <f t="shared" si="4"/>
        <v>1556.37</v>
      </c>
      <c r="I21" s="6">
        <f t="shared" si="5"/>
        <v>45.164538595473012</v>
      </c>
    </row>
    <row r="22" spans="1:9" ht="15.75" x14ac:dyDescent="0.25">
      <c r="A22" s="29" t="s">
        <v>527</v>
      </c>
      <c r="B22" s="40" t="s">
        <v>1153</v>
      </c>
      <c r="C22" s="40" t="s">
        <v>166</v>
      </c>
      <c r="D22" s="40" t="s">
        <v>235</v>
      </c>
      <c r="E22" s="40"/>
      <c r="F22" s="40"/>
      <c r="G22" s="6">
        <f>G25+G28+G24</f>
        <v>3446</v>
      </c>
      <c r="H22" s="6">
        <f t="shared" ref="H22" si="6">H25+H28+H24</f>
        <v>1556.37</v>
      </c>
      <c r="I22" s="6">
        <f t="shared" si="5"/>
        <v>45.164538595473012</v>
      </c>
    </row>
    <row r="23" spans="1:9" s="217" customFormat="1" ht="78.75" x14ac:dyDescent="0.25">
      <c r="A23" s="25" t="s">
        <v>143</v>
      </c>
      <c r="B23" s="40" t="s">
        <v>1153</v>
      </c>
      <c r="C23" s="40" t="s">
        <v>166</v>
      </c>
      <c r="D23" s="40" t="s">
        <v>235</v>
      </c>
      <c r="E23" s="40" t="s">
        <v>144</v>
      </c>
      <c r="F23" s="40"/>
      <c r="G23" s="6">
        <f>G24</f>
        <v>1791.3</v>
      </c>
      <c r="H23" s="6">
        <f t="shared" ref="H23" si="7">H24</f>
        <v>1035.94</v>
      </c>
      <c r="I23" s="6">
        <f t="shared" si="5"/>
        <v>57.83174231005416</v>
      </c>
    </row>
    <row r="24" spans="1:9" s="217" customFormat="1" ht="15.75" x14ac:dyDescent="0.25">
      <c r="A24" s="25" t="s">
        <v>358</v>
      </c>
      <c r="B24" s="40" t="s">
        <v>1153</v>
      </c>
      <c r="C24" s="40" t="s">
        <v>166</v>
      </c>
      <c r="D24" s="40" t="s">
        <v>235</v>
      </c>
      <c r="E24" s="40" t="s">
        <v>225</v>
      </c>
      <c r="F24" s="40"/>
      <c r="G24" s="6">
        <f>'Пр.4 ведом.20'!G927</f>
        <v>1791.3</v>
      </c>
      <c r="H24" s="6">
        <f>'Пр.4 ведом.20'!H927</f>
        <v>1035.94</v>
      </c>
      <c r="I24" s="6">
        <f t="shared" si="5"/>
        <v>57.83174231005416</v>
      </c>
    </row>
    <row r="25" spans="1:9" ht="31.5" x14ac:dyDescent="0.25">
      <c r="A25" s="29" t="s">
        <v>147</v>
      </c>
      <c r="B25" s="40" t="s">
        <v>1153</v>
      </c>
      <c r="C25" s="40" t="s">
        <v>166</v>
      </c>
      <c r="D25" s="40" t="s">
        <v>235</v>
      </c>
      <c r="E25" s="40" t="s">
        <v>148</v>
      </c>
      <c r="F25" s="40"/>
      <c r="G25" s="6">
        <f t="shared" ref="G25:H25" si="8">G26</f>
        <v>1654.7</v>
      </c>
      <c r="H25" s="6">
        <f t="shared" si="8"/>
        <v>520.42999999999995</v>
      </c>
      <c r="I25" s="6">
        <f t="shared" si="5"/>
        <v>31.451622650631535</v>
      </c>
    </row>
    <row r="26" spans="1:9" ht="31.5" x14ac:dyDescent="0.25">
      <c r="A26" s="29" t="s">
        <v>149</v>
      </c>
      <c r="B26" s="40" t="s">
        <v>1153</v>
      </c>
      <c r="C26" s="40" t="s">
        <v>166</v>
      </c>
      <c r="D26" s="40" t="s">
        <v>235</v>
      </c>
      <c r="E26" s="40" t="s">
        <v>150</v>
      </c>
      <c r="F26" s="40"/>
      <c r="G26" s="6">
        <f>'Пр.4 ведом.20'!G929</f>
        <v>1654.7</v>
      </c>
      <c r="H26" s="6">
        <f>'Пр.4 ведом.20'!H929</f>
        <v>520.42999999999995</v>
      </c>
      <c r="I26" s="6">
        <f t="shared" si="5"/>
        <v>31.451622650631535</v>
      </c>
    </row>
    <row r="27" spans="1:9" s="217" customFormat="1" ht="31.5" x14ac:dyDescent="0.25">
      <c r="A27" s="45" t="s">
        <v>640</v>
      </c>
      <c r="B27" s="40" t="s">
        <v>1153</v>
      </c>
      <c r="C27" s="40" t="s">
        <v>166</v>
      </c>
      <c r="D27" s="40" t="s">
        <v>235</v>
      </c>
      <c r="E27" s="40" t="s">
        <v>150</v>
      </c>
      <c r="F27" s="40" t="s">
        <v>641</v>
      </c>
      <c r="G27" s="6">
        <f>G26</f>
        <v>1654.7</v>
      </c>
      <c r="H27" s="6">
        <f t="shared" ref="H27" si="9">H26</f>
        <v>520.42999999999995</v>
      </c>
      <c r="I27" s="6">
        <f t="shared" si="5"/>
        <v>31.451622650631535</v>
      </c>
    </row>
    <row r="28" spans="1:9" ht="15.75" hidden="1" x14ac:dyDescent="0.25">
      <c r="A28" s="25" t="s">
        <v>151</v>
      </c>
      <c r="B28" s="40" t="s">
        <v>1153</v>
      </c>
      <c r="C28" s="40" t="s">
        <v>166</v>
      </c>
      <c r="D28" s="40" t="s">
        <v>235</v>
      </c>
      <c r="E28" s="40" t="s">
        <v>161</v>
      </c>
      <c r="F28" s="40"/>
      <c r="G28" s="6">
        <f t="shared" ref="G28:H28" si="10">G29</f>
        <v>0</v>
      </c>
      <c r="H28" s="6">
        <f t="shared" si="10"/>
        <v>0</v>
      </c>
      <c r="I28" s="6" t="e">
        <f t="shared" si="5"/>
        <v>#DIV/0!</v>
      </c>
    </row>
    <row r="29" spans="1:9" ht="15.75" hidden="1" x14ac:dyDescent="0.25">
      <c r="A29" s="25" t="s">
        <v>153</v>
      </c>
      <c r="B29" s="40" t="s">
        <v>1153</v>
      </c>
      <c r="C29" s="40" t="s">
        <v>166</v>
      </c>
      <c r="D29" s="40" t="s">
        <v>235</v>
      </c>
      <c r="E29" s="40" t="s">
        <v>154</v>
      </c>
      <c r="F29" s="40"/>
      <c r="G29" s="6">
        <f>'Пр.4 ведом.20'!G931</f>
        <v>0</v>
      </c>
      <c r="H29" s="6">
        <f>'Пр.4 ведом.20'!H931</f>
        <v>0</v>
      </c>
      <c r="I29" s="6" t="e">
        <f t="shared" si="5"/>
        <v>#DIV/0!</v>
      </c>
    </row>
    <row r="30" spans="1:9" ht="31.5" hidden="1" x14ac:dyDescent="0.25">
      <c r="A30" s="45" t="s">
        <v>640</v>
      </c>
      <c r="B30" s="40" t="s">
        <v>1153</v>
      </c>
      <c r="C30" s="40" t="s">
        <v>166</v>
      </c>
      <c r="D30" s="40" t="s">
        <v>235</v>
      </c>
      <c r="E30" s="40" t="s">
        <v>154</v>
      </c>
      <c r="F30" s="40" t="s">
        <v>641</v>
      </c>
      <c r="G30" s="6">
        <f>G29</f>
        <v>0</v>
      </c>
      <c r="H30" s="6">
        <f t="shared" ref="H30" si="11">H29</f>
        <v>0</v>
      </c>
      <c r="I30" s="6" t="e">
        <f t="shared" si="5"/>
        <v>#DIV/0!</v>
      </c>
    </row>
    <row r="31" spans="1:9" ht="47.25" x14ac:dyDescent="0.25">
      <c r="A31" s="58" t="s">
        <v>359</v>
      </c>
      <c r="B31" s="7" t="s">
        <v>360</v>
      </c>
      <c r="C31" s="7"/>
      <c r="D31" s="7"/>
      <c r="E31" s="7"/>
      <c r="F31" s="7"/>
      <c r="G31" s="59">
        <f>G32+G61+G69+G77+G95+G103+G111+G152</f>
        <v>3427.8999999999996</v>
      </c>
      <c r="H31" s="347">
        <f t="shared" ref="H31" si="12">H32+H61+H69+H77+H95+H103+H111+H152</f>
        <v>749.75</v>
      </c>
      <c r="I31" s="4">
        <f t="shared" si="5"/>
        <v>21.871991598354683</v>
      </c>
    </row>
    <row r="32" spans="1:9" ht="31.5" x14ac:dyDescent="0.25">
      <c r="A32" s="58" t="s">
        <v>642</v>
      </c>
      <c r="B32" s="7" t="s">
        <v>362</v>
      </c>
      <c r="C32" s="7"/>
      <c r="D32" s="7"/>
      <c r="E32" s="7"/>
      <c r="F32" s="7"/>
      <c r="G32" s="59">
        <f>G34+G44+G54</f>
        <v>760</v>
      </c>
      <c r="H32" s="347">
        <f t="shared" ref="H32" si="13">H34+H44+H54</f>
        <v>142.69999999999999</v>
      </c>
      <c r="I32" s="4">
        <f t="shared" si="5"/>
        <v>18.776315789473681</v>
      </c>
    </row>
    <row r="33" spans="1:9" s="217" customFormat="1" ht="47.25" x14ac:dyDescent="0.25">
      <c r="A33" s="223" t="s">
        <v>1196</v>
      </c>
      <c r="B33" s="24" t="s">
        <v>952</v>
      </c>
      <c r="C33" s="7"/>
      <c r="D33" s="7"/>
      <c r="E33" s="40"/>
      <c r="F33" s="40"/>
      <c r="G33" s="59">
        <f>G34</f>
        <v>280</v>
      </c>
      <c r="H33" s="347">
        <f t="shared" ref="H33" si="14">H34</f>
        <v>0</v>
      </c>
      <c r="I33" s="4">
        <f t="shared" si="5"/>
        <v>0</v>
      </c>
    </row>
    <row r="34" spans="1:9" ht="15.75" x14ac:dyDescent="0.25">
      <c r="A34" s="45" t="s">
        <v>279</v>
      </c>
      <c r="B34" s="40" t="s">
        <v>952</v>
      </c>
      <c r="C34" s="40" t="s">
        <v>280</v>
      </c>
      <c r="D34" s="40"/>
      <c r="E34" s="40"/>
      <c r="F34" s="40"/>
      <c r="G34" s="10">
        <f t="shared" ref="G34:H34" si="15">G35</f>
        <v>280</v>
      </c>
      <c r="H34" s="335">
        <f t="shared" si="15"/>
        <v>0</v>
      </c>
      <c r="I34" s="6">
        <f t="shared" si="5"/>
        <v>0</v>
      </c>
    </row>
    <row r="35" spans="1:9" ht="15.75" x14ac:dyDescent="0.25">
      <c r="A35" s="45" t="s">
        <v>482</v>
      </c>
      <c r="B35" s="40" t="s">
        <v>952</v>
      </c>
      <c r="C35" s="40" t="s">
        <v>280</v>
      </c>
      <c r="D35" s="40" t="s">
        <v>280</v>
      </c>
      <c r="E35" s="40"/>
      <c r="F35" s="40"/>
      <c r="G35" s="10">
        <f>G36+G40</f>
        <v>280</v>
      </c>
      <c r="H35" s="335">
        <f t="shared" ref="H35" si="16">H36+H40</f>
        <v>0</v>
      </c>
      <c r="I35" s="6">
        <f t="shared" si="5"/>
        <v>0</v>
      </c>
    </row>
    <row r="36" spans="1:9" s="217" customFormat="1" ht="31.5" x14ac:dyDescent="0.25">
      <c r="A36" s="99" t="s">
        <v>1202</v>
      </c>
      <c r="B36" s="20" t="s">
        <v>953</v>
      </c>
      <c r="C36" s="40" t="s">
        <v>280</v>
      </c>
      <c r="D36" s="40" t="s">
        <v>280</v>
      </c>
      <c r="E36" s="40"/>
      <c r="F36" s="40"/>
      <c r="G36" s="10">
        <f>G37</f>
        <v>280</v>
      </c>
      <c r="H36" s="335">
        <f t="shared" ref="H36:H37" si="17">H37</f>
        <v>0</v>
      </c>
      <c r="I36" s="6">
        <f t="shared" si="5"/>
        <v>0</v>
      </c>
    </row>
    <row r="37" spans="1:9" s="217" customFormat="1" ht="78.75" x14ac:dyDescent="0.25">
      <c r="A37" s="25" t="s">
        <v>143</v>
      </c>
      <c r="B37" s="20" t="s">
        <v>953</v>
      </c>
      <c r="C37" s="40" t="s">
        <v>280</v>
      </c>
      <c r="D37" s="40" t="s">
        <v>280</v>
      </c>
      <c r="E37" s="40" t="s">
        <v>144</v>
      </c>
      <c r="F37" s="40"/>
      <c r="G37" s="10">
        <f>G38</f>
        <v>280</v>
      </c>
      <c r="H37" s="335">
        <f t="shared" si="17"/>
        <v>0</v>
      </c>
      <c r="I37" s="6">
        <f t="shared" si="5"/>
        <v>0</v>
      </c>
    </row>
    <row r="38" spans="1:9" s="217" customFormat="1" ht="15.75" x14ac:dyDescent="0.25">
      <c r="A38" s="25" t="s">
        <v>358</v>
      </c>
      <c r="B38" s="20" t="s">
        <v>953</v>
      </c>
      <c r="C38" s="40" t="s">
        <v>280</v>
      </c>
      <c r="D38" s="40" t="s">
        <v>280</v>
      </c>
      <c r="E38" s="40" t="s">
        <v>225</v>
      </c>
      <c r="F38" s="40"/>
      <c r="G38" s="10">
        <f>'Пр.3 Рд,пр, ЦС,ВР 20'!F749</f>
        <v>280</v>
      </c>
      <c r="H38" s="335">
        <f>'Пр.3 Рд,пр, ЦС,ВР 20'!G749</f>
        <v>0</v>
      </c>
      <c r="I38" s="6">
        <f t="shared" si="5"/>
        <v>0</v>
      </c>
    </row>
    <row r="39" spans="1:9" s="217" customFormat="1" ht="47.25" x14ac:dyDescent="0.25">
      <c r="A39" s="45" t="s">
        <v>277</v>
      </c>
      <c r="B39" s="20" t="s">
        <v>953</v>
      </c>
      <c r="C39" s="40" t="s">
        <v>280</v>
      </c>
      <c r="D39" s="40" t="s">
        <v>280</v>
      </c>
      <c r="E39" s="40" t="s">
        <v>225</v>
      </c>
      <c r="F39" s="40" t="s">
        <v>644</v>
      </c>
      <c r="G39" s="6">
        <f>G38</f>
        <v>280</v>
      </c>
      <c r="H39" s="6">
        <f t="shared" ref="H39" si="18">H38</f>
        <v>0</v>
      </c>
      <c r="I39" s="6">
        <f t="shared" si="5"/>
        <v>0</v>
      </c>
    </row>
    <row r="40" spans="1:9" s="217" customFormat="1" ht="15.75" hidden="1" x14ac:dyDescent="0.25">
      <c r="A40" s="25" t="s">
        <v>1197</v>
      </c>
      <c r="B40" s="20" t="s">
        <v>1221</v>
      </c>
      <c r="C40" s="40" t="s">
        <v>280</v>
      </c>
      <c r="D40" s="40" t="s">
        <v>280</v>
      </c>
      <c r="E40" s="40"/>
      <c r="F40" s="40"/>
      <c r="G40" s="10">
        <f>G41</f>
        <v>0</v>
      </c>
      <c r="H40" s="335">
        <f t="shared" ref="H40:H41" si="19">H41</f>
        <v>0</v>
      </c>
      <c r="I40" s="6" t="e">
        <f t="shared" si="5"/>
        <v>#DIV/0!</v>
      </c>
    </row>
    <row r="41" spans="1:9" s="217" customFormat="1" ht="31.5" hidden="1" x14ac:dyDescent="0.25">
      <c r="A41" s="25" t="s">
        <v>147</v>
      </c>
      <c r="B41" s="20" t="s">
        <v>1221</v>
      </c>
      <c r="C41" s="40" t="s">
        <v>280</v>
      </c>
      <c r="D41" s="40" t="s">
        <v>280</v>
      </c>
      <c r="E41" s="40" t="s">
        <v>148</v>
      </c>
      <c r="F41" s="40"/>
      <c r="G41" s="10">
        <f>G42</f>
        <v>0</v>
      </c>
      <c r="H41" s="335">
        <f t="shared" si="19"/>
        <v>0</v>
      </c>
      <c r="I41" s="6" t="e">
        <f t="shared" si="5"/>
        <v>#DIV/0!</v>
      </c>
    </row>
    <row r="42" spans="1:9" s="217" customFormat="1" ht="31.5" hidden="1" x14ac:dyDescent="0.25">
      <c r="A42" s="25" t="s">
        <v>149</v>
      </c>
      <c r="B42" s="20" t="s">
        <v>1221</v>
      </c>
      <c r="C42" s="40" t="s">
        <v>280</v>
      </c>
      <c r="D42" s="40" t="s">
        <v>280</v>
      </c>
      <c r="E42" s="40" t="s">
        <v>150</v>
      </c>
      <c r="F42" s="40"/>
      <c r="G42" s="10">
        <f>'Пр.3 Рд,пр, ЦС,ВР 20'!F752</f>
        <v>0</v>
      </c>
      <c r="H42" s="335">
        <f>'Пр.3 Рд,пр, ЦС,ВР 20'!G752</f>
        <v>0</v>
      </c>
      <c r="I42" s="6" t="e">
        <f t="shared" si="5"/>
        <v>#DIV/0!</v>
      </c>
    </row>
    <row r="43" spans="1:9" s="217" customFormat="1" ht="47.25" hidden="1" x14ac:dyDescent="0.25">
      <c r="A43" s="45" t="s">
        <v>277</v>
      </c>
      <c r="B43" s="20" t="s">
        <v>1221</v>
      </c>
      <c r="C43" s="40" t="s">
        <v>280</v>
      </c>
      <c r="D43" s="40" t="s">
        <v>280</v>
      </c>
      <c r="E43" s="40" t="s">
        <v>150</v>
      </c>
      <c r="F43" s="40" t="s">
        <v>644</v>
      </c>
      <c r="G43" s="6">
        <f>G42</f>
        <v>0</v>
      </c>
      <c r="H43" s="6">
        <f t="shared" ref="H43" si="20">H42</f>
        <v>0</v>
      </c>
      <c r="I43" s="6" t="e">
        <f t="shared" si="5"/>
        <v>#DIV/0!</v>
      </c>
    </row>
    <row r="44" spans="1:9" s="217" customFormat="1" ht="63" x14ac:dyDescent="0.25">
      <c r="A44" s="23" t="s">
        <v>1198</v>
      </c>
      <c r="B44" s="24" t="s">
        <v>954</v>
      </c>
      <c r="C44" s="40"/>
      <c r="D44" s="40"/>
      <c r="E44" s="40"/>
      <c r="F44" s="40"/>
      <c r="G44" s="59">
        <f>G45</f>
        <v>455</v>
      </c>
      <c r="H44" s="347">
        <f t="shared" ref="H44:H45" si="21">H45</f>
        <v>142.69999999999999</v>
      </c>
      <c r="I44" s="4">
        <f t="shared" si="5"/>
        <v>31.362637362637358</v>
      </c>
    </row>
    <row r="45" spans="1:9" s="217" customFormat="1" ht="15.75" x14ac:dyDescent="0.25">
      <c r="A45" s="45" t="s">
        <v>279</v>
      </c>
      <c r="B45" s="40" t="s">
        <v>954</v>
      </c>
      <c r="C45" s="40" t="s">
        <v>280</v>
      </c>
      <c r="D45" s="40"/>
      <c r="E45" s="40"/>
      <c r="F45" s="40"/>
      <c r="G45" s="10">
        <f>G46</f>
        <v>455</v>
      </c>
      <c r="H45" s="335">
        <f t="shared" si="21"/>
        <v>142.69999999999999</v>
      </c>
      <c r="I45" s="6">
        <f t="shared" si="5"/>
        <v>31.362637362637358</v>
      </c>
    </row>
    <row r="46" spans="1:9" s="217" customFormat="1" ht="15.75" x14ac:dyDescent="0.25">
      <c r="A46" s="45" t="s">
        <v>482</v>
      </c>
      <c r="B46" s="40" t="s">
        <v>954</v>
      </c>
      <c r="C46" s="40" t="s">
        <v>280</v>
      </c>
      <c r="D46" s="40" t="s">
        <v>280</v>
      </c>
      <c r="E46" s="40"/>
      <c r="F46" s="40"/>
      <c r="G46" s="10">
        <f>G47+G51</f>
        <v>455</v>
      </c>
      <c r="H46" s="335">
        <f t="shared" ref="H46" si="22">H47+H51</f>
        <v>142.69999999999999</v>
      </c>
      <c r="I46" s="6">
        <f t="shared" si="5"/>
        <v>31.362637362637358</v>
      </c>
    </row>
    <row r="47" spans="1:9" ht="15.75" x14ac:dyDescent="0.25">
      <c r="A47" s="25" t="s">
        <v>1199</v>
      </c>
      <c r="B47" s="20" t="s">
        <v>972</v>
      </c>
      <c r="C47" s="40" t="s">
        <v>280</v>
      </c>
      <c r="D47" s="40" t="s">
        <v>280</v>
      </c>
      <c r="E47" s="40"/>
      <c r="F47" s="40"/>
      <c r="G47" s="10">
        <f>G48</f>
        <v>40</v>
      </c>
      <c r="H47" s="335">
        <f t="shared" ref="H47" si="23">H48</f>
        <v>0</v>
      </c>
      <c r="I47" s="6">
        <f t="shared" si="5"/>
        <v>0</v>
      </c>
    </row>
    <row r="48" spans="1:9" ht="78.75" x14ac:dyDescent="0.25">
      <c r="A48" s="25" t="s">
        <v>143</v>
      </c>
      <c r="B48" s="20" t="s">
        <v>972</v>
      </c>
      <c r="C48" s="40" t="s">
        <v>280</v>
      </c>
      <c r="D48" s="40" t="s">
        <v>280</v>
      </c>
      <c r="E48" s="40" t="s">
        <v>144</v>
      </c>
      <c r="F48" s="40"/>
      <c r="G48" s="10">
        <f t="shared" ref="G48:H48" si="24">G49</f>
        <v>40</v>
      </c>
      <c r="H48" s="335">
        <f t="shared" si="24"/>
        <v>0</v>
      </c>
      <c r="I48" s="6">
        <f t="shared" si="5"/>
        <v>0</v>
      </c>
    </row>
    <row r="49" spans="1:9" ht="15.75" x14ac:dyDescent="0.25">
      <c r="A49" s="25" t="s">
        <v>358</v>
      </c>
      <c r="B49" s="20" t="s">
        <v>972</v>
      </c>
      <c r="C49" s="40" t="s">
        <v>280</v>
      </c>
      <c r="D49" s="40" t="s">
        <v>280</v>
      </c>
      <c r="E49" s="40" t="s">
        <v>225</v>
      </c>
      <c r="F49" s="40"/>
      <c r="G49" s="10">
        <f>'Пр.3 Рд,пр, ЦС,ВР 20'!F756</f>
        <v>40</v>
      </c>
      <c r="H49" s="335">
        <f>'Пр.3 Рд,пр, ЦС,ВР 20'!G756</f>
        <v>0</v>
      </c>
      <c r="I49" s="6">
        <f t="shared" si="5"/>
        <v>0</v>
      </c>
    </row>
    <row r="50" spans="1:9" s="217" customFormat="1" ht="47.25" x14ac:dyDescent="0.25">
      <c r="A50" s="45" t="s">
        <v>277</v>
      </c>
      <c r="B50" s="20" t="s">
        <v>972</v>
      </c>
      <c r="C50" s="40" t="s">
        <v>280</v>
      </c>
      <c r="D50" s="40" t="s">
        <v>280</v>
      </c>
      <c r="E50" s="40" t="s">
        <v>225</v>
      </c>
      <c r="F50" s="40" t="s">
        <v>644</v>
      </c>
      <c r="G50" s="6">
        <f>G49</f>
        <v>40</v>
      </c>
      <c r="H50" s="6">
        <f t="shared" ref="H50" si="25">H49</f>
        <v>0</v>
      </c>
      <c r="I50" s="6">
        <f t="shared" si="5"/>
        <v>0</v>
      </c>
    </row>
    <row r="51" spans="1:9" ht="31.5" x14ac:dyDescent="0.25">
      <c r="A51" s="25" t="s">
        <v>147</v>
      </c>
      <c r="B51" s="20" t="s">
        <v>972</v>
      </c>
      <c r="C51" s="40" t="s">
        <v>280</v>
      </c>
      <c r="D51" s="40" t="s">
        <v>280</v>
      </c>
      <c r="E51" s="40" t="s">
        <v>148</v>
      </c>
      <c r="F51" s="40"/>
      <c r="G51" s="10">
        <f t="shared" ref="G51:H51" si="26">G52</f>
        <v>415</v>
      </c>
      <c r="H51" s="335">
        <f t="shared" si="26"/>
        <v>142.69999999999999</v>
      </c>
      <c r="I51" s="6">
        <f t="shared" si="5"/>
        <v>34.385542168674696</v>
      </c>
    </row>
    <row r="52" spans="1:9" ht="31.5" x14ac:dyDescent="0.25">
      <c r="A52" s="25" t="s">
        <v>149</v>
      </c>
      <c r="B52" s="20" t="s">
        <v>972</v>
      </c>
      <c r="C52" s="40" t="s">
        <v>280</v>
      </c>
      <c r="D52" s="40" t="s">
        <v>280</v>
      </c>
      <c r="E52" s="40" t="s">
        <v>150</v>
      </c>
      <c r="F52" s="40"/>
      <c r="G52" s="6">
        <f>'Пр.3 Рд,пр, ЦС,ВР 20'!F758</f>
        <v>415</v>
      </c>
      <c r="H52" s="6">
        <f>'Пр.3 Рд,пр, ЦС,ВР 20'!G758</f>
        <v>142.69999999999999</v>
      </c>
      <c r="I52" s="6">
        <f t="shared" si="5"/>
        <v>34.385542168674696</v>
      </c>
    </row>
    <row r="53" spans="1:9" s="217" customFormat="1" ht="47.25" x14ac:dyDescent="0.25">
      <c r="A53" s="45" t="s">
        <v>277</v>
      </c>
      <c r="B53" s="20" t="s">
        <v>972</v>
      </c>
      <c r="C53" s="40" t="s">
        <v>280</v>
      </c>
      <c r="D53" s="40" t="s">
        <v>280</v>
      </c>
      <c r="E53" s="40" t="s">
        <v>150</v>
      </c>
      <c r="F53" s="40" t="s">
        <v>644</v>
      </c>
      <c r="G53" s="6">
        <f>G52</f>
        <v>415</v>
      </c>
      <c r="H53" s="6">
        <f t="shared" ref="H53" si="27">H52</f>
        <v>142.69999999999999</v>
      </c>
      <c r="I53" s="6">
        <f t="shared" si="5"/>
        <v>34.385542168674696</v>
      </c>
    </row>
    <row r="54" spans="1:9" ht="33" customHeight="1" x14ac:dyDescent="0.25">
      <c r="A54" s="23" t="s">
        <v>1204</v>
      </c>
      <c r="B54" s="24" t="s">
        <v>1200</v>
      </c>
      <c r="C54" s="40"/>
      <c r="D54" s="40"/>
      <c r="E54" s="40"/>
      <c r="F54" s="40"/>
      <c r="G54" s="4">
        <f>G57</f>
        <v>25</v>
      </c>
      <c r="H54" s="4">
        <f t="shared" ref="H54" si="28">H57</f>
        <v>0</v>
      </c>
      <c r="I54" s="4">
        <f t="shared" si="5"/>
        <v>0</v>
      </c>
    </row>
    <row r="55" spans="1:9" s="217" customFormat="1" ht="16.5" customHeight="1" x14ac:dyDescent="0.25">
      <c r="A55" s="45" t="s">
        <v>279</v>
      </c>
      <c r="B55" s="40" t="s">
        <v>1200</v>
      </c>
      <c r="C55" s="40" t="s">
        <v>280</v>
      </c>
      <c r="D55" s="40"/>
      <c r="E55" s="40"/>
      <c r="F55" s="40"/>
      <c r="G55" s="10">
        <f>G56</f>
        <v>25</v>
      </c>
      <c r="H55" s="335">
        <f t="shared" ref="H55:H56" si="29">H56</f>
        <v>0</v>
      </c>
      <c r="I55" s="6">
        <f t="shared" si="5"/>
        <v>0</v>
      </c>
    </row>
    <row r="56" spans="1:9" s="217" customFormat="1" ht="18.75" customHeight="1" x14ac:dyDescent="0.25">
      <c r="A56" s="45" t="s">
        <v>482</v>
      </c>
      <c r="B56" s="40" t="s">
        <v>1200</v>
      </c>
      <c r="C56" s="40" t="s">
        <v>280</v>
      </c>
      <c r="D56" s="40" t="s">
        <v>280</v>
      </c>
      <c r="E56" s="40"/>
      <c r="F56" s="40"/>
      <c r="G56" s="10">
        <f>G57</f>
        <v>25</v>
      </c>
      <c r="H56" s="335">
        <f t="shared" si="29"/>
        <v>0</v>
      </c>
      <c r="I56" s="6">
        <f t="shared" si="5"/>
        <v>0</v>
      </c>
    </row>
    <row r="57" spans="1:9" ht="47.25" x14ac:dyDescent="0.25">
      <c r="A57" s="248" t="s">
        <v>1201</v>
      </c>
      <c r="B57" s="20" t="s">
        <v>1222</v>
      </c>
      <c r="C57" s="40" t="s">
        <v>280</v>
      </c>
      <c r="D57" s="40" t="s">
        <v>280</v>
      </c>
      <c r="E57" s="20"/>
      <c r="F57" s="40"/>
      <c r="G57" s="6">
        <f t="shared" ref="G57:H58" si="30">G58</f>
        <v>25</v>
      </c>
      <c r="H57" s="6">
        <f t="shared" si="30"/>
        <v>0</v>
      </c>
      <c r="I57" s="6">
        <f t="shared" si="5"/>
        <v>0</v>
      </c>
    </row>
    <row r="58" spans="1:9" ht="15.75" x14ac:dyDescent="0.25">
      <c r="A58" s="25" t="s">
        <v>264</v>
      </c>
      <c r="B58" s="20" t="s">
        <v>1222</v>
      </c>
      <c r="C58" s="40" t="s">
        <v>280</v>
      </c>
      <c r="D58" s="40" t="s">
        <v>280</v>
      </c>
      <c r="E58" s="20" t="s">
        <v>265</v>
      </c>
      <c r="F58" s="40"/>
      <c r="G58" s="6">
        <f>G59</f>
        <v>25</v>
      </c>
      <c r="H58" s="6">
        <f t="shared" si="30"/>
        <v>0</v>
      </c>
      <c r="I58" s="6">
        <f t="shared" si="5"/>
        <v>0</v>
      </c>
    </row>
    <row r="59" spans="1:9" ht="32.25" customHeight="1" x14ac:dyDescent="0.25">
      <c r="A59" s="25" t="s">
        <v>1489</v>
      </c>
      <c r="B59" s="20" t="s">
        <v>1222</v>
      </c>
      <c r="C59" s="40" t="s">
        <v>280</v>
      </c>
      <c r="D59" s="40" t="s">
        <v>280</v>
      </c>
      <c r="E59" s="20" t="s">
        <v>1488</v>
      </c>
      <c r="F59" s="40"/>
      <c r="G59" s="10">
        <f>'Пр.3 Рд,пр, ЦС,ВР 20'!F762</f>
        <v>25</v>
      </c>
      <c r="H59" s="335">
        <f>'Пр.3 Рд,пр, ЦС,ВР 20'!G762</f>
        <v>0</v>
      </c>
      <c r="I59" s="6">
        <f t="shared" si="5"/>
        <v>0</v>
      </c>
    </row>
    <row r="60" spans="1:9" s="217" customFormat="1" ht="47.25" x14ac:dyDescent="0.25">
      <c r="A60" s="45" t="s">
        <v>277</v>
      </c>
      <c r="B60" s="20" t="s">
        <v>1222</v>
      </c>
      <c r="C60" s="40" t="s">
        <v>280</v>
      </c>
      <c r="D60" s="40" t="s">
        <v>280</v>
      </c>
      <c r="E60" s="40" t="s">
        <v>1488</v>
      </c>
      <c r="F60" s="40" t="s">
        <v>644</v>
      </c>
      <c r="G60" s="6">
        <f>G59</f>
        <v>25</v>
      </c>
      <c r="H60" s="6">
        <f t="shared" ref="H60" si="31">H59</f>
        <v>0</v>
      </c>
      <c r="I60" s="6">
        <f t="shared" si="5"/>
        <v>0</v>
      </c>
    </row>
    <row r="61" spans="1:9" ht="31.5" x14ac:dyDescent="0.25">
      <c r="A61" s="58" t="s">
        <v>645</v>
      </c>
      <c r="B61" s="7" t="s">
        <v>369</v>
      </c>
      <c r="C61" s="7"/>
      <c r="D61" s="7"/>
      <c r="E61" s="7"/>
      <c r="F61" s="7"/>
      <c r="G61" s="59">
        <f>G62</f>
        <v>169.20000000000002</v>
      </c>
      <c r="H61" s="347">
        <f t="shared" ref="H61:H62" si="32">H62</f>
        <v>0</v>
      </c>
      <c r="I61" s="4">
        <f t="shared" si="5"/>
        <v>0</v>
      </c>
    </row>
    <row r="62" spans="1:9" s="217" customFormat="1" ht="31.5" x14ac:dyDescent="0.25">
      <c r="A62" s="23" t="s">
        <v>976</v>
      </c>
      <c r="B62" s="24" t="s">
        <v>975</v>
      </c>
      <c r="C62" s="7"/>
      <c r="D62" s="7"/>
      <c r="E62" s="7"/>
      <c r="F62" s="7"/>
      <c r="G62" s="59">
        <f>G63</f>
        <v>169.20000000000002</v>
      </c>
      <c r="H62" s="347">
        <f t="shared" si="32"/>
        <v>0</v>
      </c>
      <c r="I62" s="4">
        <f t="shared" si="5"/>
        <v>0</v>
      </c>
    </row>
    <row r="63" spans="1:9" ht="15.75" x14ac:dyDescent="0.25">
      <c r="A63" s="45" t="s">
        <v>259</v>
      </c>
      <c r="B63" s="40" t="s">
        <v>975</v>
      </c>
      <c r="C63" s="40" t="s">
        <v>260</v>
      </c>
      <c r="D63" s="40"/>
      <c r="E63" s="40"/>
      <c r="F63" s="40"/>
      <c r="G63" s="10">
        <f t="shared" ref="G63:H66" si="33">G64</f>
        <v>169.20000000000002</v>
      </c>
      <c r="H63" s="335">
        <f t="shared" si="33"/>
        <v>0</v>
      </c>
      <c r="I63" s="6">
        <f t="shared" si="5"/>
        <v>0</v>
      </c>
    </row>
    <row r="64" spans="1:9" ht="15.75" x14ac:dyDescent="0.25">
      <c r="A64" s="45" t="s">
        <v>268</v>
      </c>
      <c r="B64" s="40" t="s">
        <v>975</v>
      </c>
      <c r="C64" s="40" t="s">
        <v>260</v>
      </c>
      <c r="D64" s="40" t="s">
        <v>231</v>
      </c>
      <c r="E64" s="40"/>
      <c r="F64" s="40"/>
      <c r="G64" s="10">
        <f>G65</f>
        <v>169.20000000000002</v>
      </c>
      <c r="H64" s="335">
        <f t="shared" si="33"/>
        <v>0</v>
      </c>
      <c r="I64" s="6">
        <f t="shared" si="5"/>
        <v>0</v>
      </c>
    </row>
    <row r="65" spans="1:9" ht="31.5" x14ac:dyDescent="0.25">
      <c r="A65" s="25" t="s">
        <v>869</v>
      </c>
      <c r="B65" s="20" t="s">
        <v>977</v>
      </c>
      <c r="C65" s="40" t="s">
        <v>260</v>
      </c>
      <c r="D65" s="40" t="s">
        <v>231</v>
      </c>
      <c r="E65" s="40"/>
      <c r="F65" s="40"/>
      <c r="G65" s="10">
        <f t="shared" si="33"/>
        <v>169.20000000000002</v>
      </c>
      <c r="H65" s="335">
        <f t="shared" si="33"/>
        <v>0</v>
      </c>
      <c r="I65" s="6">
        <f t="shared" si="5"/>
        <v>0</v>
      </c>
    </row>
    <row r="66" spans="1:9" ht="15.75" x14ac:dyDescent="0.25">
      <c r="A66" s="29" t="s">
        <v>264</v>
      </c>
      <c r="B66" s="20" t="s">
        <v>977</v>
      </c>
      <c r="C66" s="40" t="s">
        <v>260</v>
      </c>
      <c r="D66" s="40" t="s">
        <v>231</v>
      </c>
      <c r="E66" s="40" t="s">
        <v>265</v>
      </c>
      <c r="F66" s="40"/>
      <c r="G66" s="10">
        <f t="shared" si="33"/>
        <v>169.20000000000002</v>
      </c>
      <c r="H66" s="335">
        <f t="shared" si="33"/>
        <v>0</v>
      </c>
      <c r="I66" s="6">
        <f t="shared" si="5"/>
        <v>0</v>
      </c>
    </row>
    <row r="67" spans="1:9" ht="31.5" x14ac:dyDescent="0.25">
      <c r="A67" s="29" t="s">
        <v>266</v>
      </c>
      <c r="B67" s="20" t="s">
        <v>977</v>
      </c>
      <c r="C67" s="40" t="s">
        <v>260</v>
      </c>
      <c r="D67" s="40" t="s">
        <v>231</v>
      </c>
      <c r="E67" s="40" t="s">
        <v>267</v>
      </c>
      <c r="F67" s="40"/>
      <c r="G67" s="10">
        <f>'Пр.4 ведом.20'!G451</f>
        <v>169.20000000000002</v>
      </c>
      <c r="H67" s="335">
        <f>'Пр.4 ведом.20'!H451</f>
        <v>0</v>
      </c>
      <c r="I67" s="6">
        <f t="shared" si="5"/>
        <v>0</v>
      </c>
    </row>
    <row r="68" spans="1:9" ht="47.25" x14ac:dyDescent="0.25">
      <c r="A68" s="45" t="s">
        <v>277</v>
      </c>
      <c r="B68" s="20" t="s">
        <v>977</v>
      </c>
      <c r="C68" s="40" t="s">
        <v>260</v>
      </c>
      <c r="D68" s="40" t="s">
        <v>231</v>
      </c>
      <c r="E68" s="40" t="s">
        <v>267</v>
      </c>
      <c r="F68" s="40" t="s">
        <v>644</v>
      </c>
      <c r="G68" s="10">
        <f t="shared" ref="G68:H68" si="34">G61</f>
        <v>169.20000000000002</v>
      </c>
      <c r="H68" s="335">
        <f t="shared" si="34"/>
        <v>0</v>
      </c>
      <c r="I68" s="6">
        <f t="shared" si="5"/>
        <v>0</v>
      </c>
    </row>
    <row r="69" spans="1:9" ht="31.5" x14ac:dyDescent="0.25">
      <c r="A69" s="58" t="s">
        <v>646</v>
      </c>
      <c r="B69" s="7" t="s">
        <v>372</v>
      </c>
      <c r="C69" s="7"/>
      <c r="D69" s="7"/>
      <c r="E69" s="7"/>
      <c r="F69" s="7"/>
      <c r="G69" s="59">
        <f t="shared" ref="G69:H69" si="35">G71</f>
        <v>420</v>
      </c>
      <c r="H69" s="347">
        <f t="shared" si="35"/>
        <v>130</v>
      </c>
      <c r="I69" s="4">
        <f t="shared" si="5"/>
        <v>30.952380952380953</v>
      </c>
    </row>
    <row r="70" spans="1:9" s="217" customFormat="1" ht="31.5" x14ac:dyDescent="0.25">
      <c r="A70" s="23" t="s">
        <v>1148</v>
      </c>
      <c r="B70" s="24" t="s">
        <v>978</v>
      </c>
      <c r="C70" s="40"/>
      <c r="D70" s="40"/>
      <c r="E70" s="40"/>
      <c r="F70" s="40"/>
      <c r="G70" s="10">
        <f>G71</f>
        <v>420</v>
      </c>
      <c r="H70" s="335">
        <f t="shared" ref="H70" si="36">H71</f>
        <v>130</v>
      </c>
      <c r="I70" s="6">
        <f t="shared" si="5"/>
        <v>30.952380952380953</v>
      </c>
    </row>
    <row r="71" spans="1:9" ht="15.75" x14ac:dyDescent="0.25">
      <c r="A71" s="45" t="s">
        <v>259</v>
      </c>
      <c r="B71" s="40" t="s">
        <v>978</v>
      </c>
      <c r="C71" s="40" t="s">
        <v>260</v>
      </c>
      <c r="D71" s="40"/>
      <c r="E71" s="40"/>
      <c r="F71" s="40"/>
      <c r="G71" s="10">
        <f t="shared" ref="G71:H74" si="37">G72</f>
        <v>420</v>
      </c>
      <c r="H71" s="335">
        <f t="shared" si="37"/>
        <v>130</v>
      </c>
      <c r="I71" s="6">
        <f t="shared" si="5"/>
        <v>30.952380952380953</v>
      </c>
    </row>
    <row r="72" spans="1:9" ht="15.75" x14ac:dyDescent="0.25">
      <c r="A72" s="45" t="s">
        <v>268</v>
      </c>
      <c r="B72" s="40" t="s">
        <v>978</v>
      </c>
      <c r="C72" s="40" t="s">
        <v>260</v>
      </c>
      <c r="D72" s="40" t="s">
        <v>231</v>
      </c>
      <c r="E72" s="40"/>
      <c r="F72" s="40"/>
      <c r="G72" s="10">
        <f>G73</f>
        <v>420</v>
      </c>
      <c r="H72" s="335">
        <f t="shared" si="37"/>
        <v>130</v>
      </c>
      <c r="I72" s="6">
        <f t="shared" si="5"/>
        <v>30.952380952380953</v>
      </c>
    </row>
    <row r="73" spans="1:9" ht="31.5" x14ac:dyDescent="0.25">
      <c r="A73" s="29" t="s">
        <v>173</v>
      </c>
      <c r="B73" s="20" t="s">
        <v>979</v>
      </c>
      <c r="C73" s="40" t="s">
        <v>260</v>
      </c>
      <c r="D73" s="40" t="s">
        <v>231</v>
      </c>
      <c r="E73" s="40"/>
      <c r="F73" s="40"/>
      <c r="G73" s="10">
        <f t="shared" si="37"/>
        <v>420</v>
      </c>
      <c r="H73" s="335">
        <f t="shared" si="37"/>
        <v>130</v>
      </c>
      <c r="I73" s="6">
        <f t="shared" si="5"/>
        <v>30.952380952380953</v>
      </c>
    </row>
    <row r="74" spans="1:9" ht="15.75" x14ac:dyDescent="0.25">
      <c r="A74" s="29" t="s">
        <v>264</v>
      </c>
      <c r="B74" s="20" t="s">
        <v>979</v>
      </c>
      <c r="C74" s="40" t="s">
        <v>260</v>
      </c>
      <c r="D74" s="40" t="s">
        <v>231</v>
      </c>
      <c r="E74" s="40" t="s">
        <v>265</v>
      </c>
      <c r="F74" s="40"/>
      <c r="G74" s="10">
        <f t="shared" si="37"/>
        <v>420</v>
      </c>
      <c r="H74" s="335">
        <f t="shared" si="37"/>
        <v>130</v>
      </c>
      <c r="I74" s="6">
        <f t="shared" si="5"/>
        <v>30.952380952380953</v>
      </c>
    </row>
    <row r="75" spans="1:9" ht="31.5" x14ac:dyDescent="0.25">
      <c r="A75" s="29" t="s">
        <v>364</v>
      </c>
      <c r="B75" s="20" t="s">
        <v>979</v>
      </c>
      <c r="C75" s="40" t="s">
        <v>260</v>
      </c>
      <c r="D75" s="40" t="s">
        <v>231</v>
      </c>
      <c r="E75" s="40" t="s">
        <v>365</v>
      </c>
      <c r="F75" s="40"/>
      <c r="G75" s="10">
        <f>'Пр.4 ведом.20'!G456</f>
        <v>420</v>
      </c>
      <c r="H75" s="335">
        <f>'Пр.4 ведом.20'!H456</f>
        <v>130</v>
      </c>
      <c r="I75" s="6">
        <f t="shared" si="5"/>
        <v>30.952380952380953</v>
      </c>
    </row>
    <row r="76" spans="1:9" ht="47.25" x14ac:dyDescent="0.25">
      <c r="A76" s="45" t="s">
        <v>277</v>
      </c>
      <c r="B76" s="20" t="s">
        <v>979</v>
      </c>
      <c r="C76" s="40" t="s">
        <v>260</v>
      </c>
      <c r="D76" s="40" t="s">
        <v>231</v>
      </c>
      <c r="E76" s="40" t="s">
        <v>365</v>
      </c>
      <c r="F76" s="40" t="s">
        <v>644</v>
      </c>
      <c r="G76" s="10">
        <f t="shared" ref="G76:H76" si="38">G69</f>
        <v>420</v>
      </c>
      <c r="H76" s="335">
        <f t="shared" si="38"/>
        <v>130</v>
      </c>
      <c r="I76" s="6">
        <f t="shared" si="5"/>
        <v>30.952380952380953</v>
      </c>
    </row>
    <row r="77" spans="1:9" ht="15.75" x14ac:dyDescent="0.25">
      <c r="A77" s="58" t="s">
        <v>648</v>
      </c>
      <c r="B77" s="7" t="s">
        <v>375</v>
      </c>
      <c r="C77" s="7"/>
      <c r="D77" s="7"/>
      <c r="E77" s="7"/>
      <c r="F77" s="7"/>
      <c r="G77" s="59">
        <f>G79+G85</f>
        <v>1110</v>
      </c>
      <c r="H77" s="347">
        <f t="shared" ref="H77" si="39">H79+H85</f>
        <v>261.55</v>
      </c>
      <c r="I77" s="4">
        <f t="shared" si="5"/>
        <v>23.563063063063066</v>
      </c>
    </row>
    <row r="78" spans="1:9" s="217" customFormat="1" ht="31.5" x14ac:dyDescent="0.25">
      <c r="A78" s="23" t="s">
        <v>1205</v>
      </c>
      <c r="B78" s="24" t="s">
        <v>981</v>
      </c>
      <c r="C78" s="40"/>
      <c r="D78" s="40"/>
      <c r="E78" s="40"/>
      <c r="F78" s="40"/>
      <c r="G78" s="10">
        <f>G79</f>
        <v>630</v>
      </c>
      <c r="H78" s="335">
        <f t="shared" ref="H78" si="40">H79</f>
        <v>231.15</v>
      </c>
      <c r="I78" s="6">
        <f t="shared" si="5"/>
        <v>36.69047619047619</v>
      </c>
    </row>
    <row r="79" spans="1:9" ht="15.75" x14ac:dyDescent="0.25">
      <c r="A79" s="45" t="s">
        <v>259</v>
      </c>
      <c r="B79" s="40" t="s">
        <v>981</v>
      </c>
      <c r="C79" s="40" t="s">
        <v>260</v>
      </c>
      <c r="D79" s="40"/>
      <c r="E79" s="40"/>
      <c r="F79" s="40"/>
      <c r="G79" s="10">
        <f t="shared" ref="G79:H81" si="41">G80</f>
        <v>630</v>
      </c>
      <c r="H79" s="335">
        <f t="shared" si="41"/>
        <v>231.15</v>
      </c>
      <c r="I79" s="6">
        <f t="shared" si="5"/>
        <v>36.69047619047619</v>
      </c>
    </row>
    <row r="80" spans="1:9" ht="15.75" x14ac:dyDescent="0.25">
      <c r="A80" s="45" t="s">
        <v>268</v>
      </c>
      <c r="B80" s="40" t="s">
        <v>981</v>
      </c>
      <c r="C80" s="40" t="s">
        <v>260</v>
      </c>
      <c r="D80" s="40" t="s">
        <v>231</v>
      </c>
      <c r="E80" s="40"/>
      <c r="F80" s="40"/>
      <c r="G80" s="10">
        <f>G81</f>
        <v>630</v>
      </c>
      <c r="H80" s="335">
        <f t="shared" si="41"/>
        <v>231.15</v>
      </c>
      <c r="I80" s="6">
        <f t="shared" si="5"/>
        <v>36.69047619047619</v>
      </c>
    </row>
    <row r="81" spans="1:9" ht="47.25" x14ac:dyDescent="0.25">
      <c r="A81" s="99" t="s">
        <v>1206</v>
      </c>
      <c r="B81" s="20" t="s">
        <v>982</v>
      </c>
      <c r="C81" s="40" t="s">
        <v>260</v>
      </c>
      <c r="D81" s="40" t="s">
        <v>231</v>
      </c>
      <c r="E81" s="40"/>
      <c r="F81" s="40"/>
      <c r="G81" s="10">
        <f>G82</f>
        <v>630</v>
      </c>
      <c r="H81" s="335">
        <f t="shared" si="41"/>
        <v>231.15</v>
      </c>
      <c r="I81" s="6">
        <f t="shared" si="5"/>
        <v>36.69047619047619</v>
      </c>
    </row>
    <row r="82" spans="1:9" ht="15.75" x14ac:dyDescent="0.25">
      <c r="A82" s="25" t="s">
        <v>264</v>
      </c>
      <c r="B82" s="20" t="s">
        <v>982</v>
      </c>
      <c r="C82" s="40" t="s">
        <v>260</v>
      </c>
      <c r="D82" s="40" t="s">
        <v>231</v>
      </c>
      <c r="E82" s="40" t="s">
        <v>265</v>
      </c>
      <c r="F82" s="40"/>
      <c r="G82" s="10">
        <f t="shared" ref="G82:H82" si="42">G83</f>
        <v>630</v>
      </c>
      <c r="H82" s="335">
        <f t="shared" si="42"/>
        <v>231.15</v>
      </c>
      <c r="I82" s="6">
        <f t="shared" si="5"/>
        <v>36.69047619047619</v>
      </c>
    </row>
    <row r="83" spans="1:9" ht="31.5" x14ac:dyDescent="0.25">
      <c r="A83" s="25" t="s">
        <v>364</v>
      </c>
      <c r="B83" s="20" t="s">
        <v>982</v>
      </c>
      <c r="C83" s="40" t="s">
        <v>260</v>
      </c>
      <c r="D83" s="40" t="s">
        <v>231</v>
      </c>
      <c r="E83" s="40" t="s">
        <v>365</v>
      </c>
      <c r="F83" s="40"/>
      <c r="G83" s="10">
        <f>'Пр.3 Рд,пр, ЦС,ВР 20'!F928</f>
        <v>630</v>
      </c>
      <c r="H83" s="335">
        <f>'Пр.3 Рд,пр, ЦС,ВР 20'!G928</f>
        <v>231.15</v>
      </c>
      <c r="I83" s="6">
        <f t="shared" ref="I83:I146" si="43">H83/G83*100</f>
        <v>36.69047619047619</v>
      </c>
    </row>
    <row r="84" spans="1:9" s="217" customFormat="1" ht="47.25" x14ac:dyDescent="0.25">
      <c r="A84" s="45" t="s">
        <v>277</v>
      </c>
      <c r="B84" s="20" t="s">
        <v>982</v>
      </c>
      <c r="C84" s="40" t="s">
        <v>260</v>
      </c>
      <c r="D84" s="40" t="s">
        <v>231</v>
      </c>
      <c r="E84" s="40" t="s">
        <v>365</v>
      </c>
      <c r="F84" s="40" t="s">
        <v>644</v>
      </c>
      <c r="G84" s="10">
        <f>G83</f>
        <v>630</v>
      </c>
      <c r="H84" s="335">
        <f t="shared" ref="H84" si="44">H83</f>
        <v>231.15</v>
      </c>
      <c r="I84" s="6">
        <f t="shared" si="43"/>
        <v>36.69047619047619</v>
      </c>
    </row>
    <row r="85" spans="1:9" ht="31.5" x14ac:dyDescent="0.25">
      <c r="A85" s="23" t="s">
        <v>980</v>
      </c>
      <c r="B85" s="24" t="s">
        <v>983</v>
      </c>
      <c r="C85" s="7"/>
      <c r="D85" s="7"/>
      <c r="E85" s="7"/>
      <c r="F85" s="7"/>
      <c r="G85" s="59">
        <f>G88+G92</f>
        <v>480</v>
      </c>
      <c r="H85" s="347">
        <f t="shared" ref="H85" si="45">H88+H92</f>
        <v>30.4</v>
      </c>
      <c r="I85" s="4">
        <f t="shared" si="43"/>
        <v>6.3333333333333321</v>
      </c>
    </row>
    <row r="86" spans="1:9" s="217" customFormat="1" ht="15.75" x14ac:dyDescent="0.25">
      <c r="A86" s="45" t="s">
        <v>259</v>
      </c>
      <c r="B86" s="40" t="s">
        <v>983</v>
      </c>
      <c r="C86" s="40" t="s">
        <v>260</v>
      </c>
      <c r="D86" s="40"/>
      <c r="E86" s="40"/>
      <c r="F86" s="40"/>
      <c r="G86" s="10">
        <f t="shared" ref="G86:H89" si="46">G87</f>
        <v>270</v>
      </c>
      <c r="H86" s="335">
        <f t="shared" si="46"/>
        <v>30.4</v>
      </c>
      <c r="I86" s="6">
        <f t="shared" si="43"/>
        <v>11.25925925925926</v>
      </c>
    </row>
    <row r="87" spans="1:9" s="217" customFormat="1" ht="15.75" x14ac:dyDescent="0.25">
      <c r="A87" s="45" t="s">
        <v>268</v>
      </c>
      <c r="B87" s="40" t="s">
        <v>983</v>
      </c>
      <c r="C87" s="40" t="s">
        <v>260</v>
      </c>
      <c r="D87" s="40" t="s">
        <v>231</v>
      </c>
      <c r="E87" s="40"/>
      <c r="F87" s="40"/>
      <c r="G87" s="10">
        <f>G88</f>
        <v>270</v>
      </c>
      <c r="H87" s="335">
        <f t="shared" si="46"/>
        <v>30.4</v>
      </c>
      <c r="I87" s="6">
        <f t="shared" si="43"/>
        <v>11.25925925925926</v>
      </c>
    </row>
    <row r="88" spans="1:9" ht="31.5" x14ac:dyDescent="0.25">
      <c r="A88" s="25" t="s">
        <v>1149</v>
      </c>
      <c r="B88" s="20" t="s">
        <v>984</v>
      </c>
      <c r="C88" s="40" t="s">
        <v>260</v>
      </c>
      <c r="D88" s="40" t="s">
        <v>231</v>
      </c>
      <c r="E88" s="40"/>
      <c r="F88" s="40"/>
      <c r="G88" s="10">
        <f>G89</f>
        <v>270</v>
      </c>
      <c r="H88" s="335">
        <f t="shared" si="46"/>
        <v>30.4</v>
      </c>
      <c r="I88" s="6">
        <f t="shared" si="43"/>
        <v>11.25925925925926</v>
      </c>
    </row>
    <row r="89" spans="1:9" s="217" customFormat="1" ht="31.5" x14ac:dyDescent="0.25">
      <c r="A89" s="25" t="s">
        <v>147</v>
      </c>
      <c r="B89" s="20" t="s">
        <v>984</v>
      </c>
      <c r="C89" s="40" t="s">
        <v>260</v>
      </c>
      <c r="D89" s="40" t="s">
        <v>231</v>
      </c>
      <c r="E89" s="40" t="s">
        <v>148</v>
      </c>
      <c r="F89" s="40"/>
      <c r="G89" s="10">
        <f>G90</f>
        <v>270</v>
      </c>
      <c r="H89" s="335">
        <f t="shared" si="46"/>
        <v>30.4</v>
      </c>
      <c r="I89" s="6">
        <f t="shared" si="43"/>
        <v>11.25925925925926</v>
      </c>
    </row>
    <row r="90" spans="1:9" s="217" customFormat="1" ht="31.5" x14ac:dyDescent="0.25">
      <c r="A90" s="25" t="s">
        <v>149</v>
      </c>
      <c r="B90" s="20" t="s">
        <v>984</v>
      </c>
      <c r="C90" s="40" t="s">
        <v>260</v>
      </c>
      <c r="D90" s="40" t="s">
        <v>231</v>
      </c>
      <c r="E90" s="40" t="s">
        <v>150</v>
      </c>
      <c r="F90" s="40"/>
      <c r="G90" s="10">
        <f>'Пр.3 Рд,пр, ЦС,ВР 20'!F932</f>
        <v>270</v>
      </c>
      <c r="H90" s="335">
        <f>'Пр.3 Рд,пр, ЦС,ВР 20'!G932</f>
        <v>30.4</v>
      </c>
      <c r="I90" s="6">
        <f t="shared" si="43"/>
        <v>11.25925925925926</v>
      </c>
    </row>
    <row r="91" spans="1:9" ht="47.25" x14ac:dyDescent="0.25">
      <c r="A91" s="45" t="s">
        <v>277</v>
      </c>
      <c r="B91" s="20" t="s">
        <v>984</v>
      </c>
      <c r="C91" s="40" t="s">
        <v>260</v>
      </c>
      <c r="D91" s="40" t="s">
        <v>231</v>
      </c>
      <c r="E91" s="40" t="s">
        <v>150</v>
      </c>
      <c r="F91" s="40" t="s">
        <v>644</v>
      </c>
      <c r="G91" s="10">
        <f>G90</f>
        <v>270</v>
      </c>
      <c r="H91" s="335">
        <f t="shared" ref="H91" si="47">H90</f>
        <v>30.4</v>
      </c>
      <c r="I91" s="6">
        <f t="shared" si="43"/>
        <v>11.25925925925926</v>
      </c>
    </row>
    <row r="92" spans="1:9" s="217" customFormat="1" ht="15.75" x14ac:dyDescent="0.25">
      <c r="A92" s="25" t="s">
        <v>264</v>
      </c>
      <c r="B92" s="20" t="s">
        <v>984</v>
      </c>
      <c r="C92" s="40" t="s">
        <v>260</v>
      </c>
      <c r="D92" s="40" t="s">
        <v>231</v>
      </c>
      <c r="E92" s="40" t="s">
        <v>265</v>
      </c>
      <c r="F92" s="40"/>
      <c r="G92" s="10">
        <f>G93</f>
        <v>210</v>
      </c>
      <c r="H92" s="335">
        <f t="shared" ref="H92:H93" si="48">H93</f>
        <v>0</v>
      </c>
      <c r="I92" s="6">
        <f t="shared" si="43"/>
        <v>0</v>
      </c>
    </row>
    <row r="93" spans="1:9" s="217" customFormat="1" ht="31.5" x14ac:dyDescent="0.25">
      <c r="A93" s="25" t="s">
        <v>364</v>
      </c>
      <c r="B93" s="20" t="s">
        <v>984</v>
      </c>
      <c r="C93" s="40" t="s">
        <v>260</v>
      </c>
      <c r="D93" s="40" t="s">
        <v>231</v>
      </c>
      <c r="E93" s="40" t="s">
        <v>365</v>
      </c>
      <c r="F93" s="40"/>
      <c r="G93" s="10">
        <f>G94</f>
        <v>210</v>
      </c>
      <c r="H93" s="335">
        <f t="shared" si="48"/>
        <v>0</v>
      </c>
      <c r="I93" s="6">
        <f t="shared" si="43"/>
        <v>0</v>
      </c>
    </row>
    <row r="94" spans="1:9" s="217" customFormat="1" ht="47.25" x14ac:dyDescent="0.25">
      <c r="A94" s="45" t="s">
        <v>277</v>
      </c>
      <c r="B94" s="20" t="s">
        <v>984</v>
      </c>
      <c r="C94" s="40" t="s">
        <v>260</v>
      </c>
      <c r="D94" s="40" t="s">
        <v>231</v>
      </c>
      <c r="E94" s="40" t="s">
        <v>365</v>
      </c>
      <c r="F94" s="40" t="s">
        <v>644</v>
      </c>
      <c r="G94" s="10">
        <f>'Пр.4 ведом.20'!G467</f>
        <v>210</v>
      </c>
      <c r="H94" s="335">
        <f>'Пр.4 ведом.20'!H467</f>
        <v>0</v>
      </c>
      <c r="I94" s="6">
        <f t="shared" si="43"/>
        <v>0</v>
      </c>
    </row>
    <row r="95" spans="1:9" ht="31.5" x14ac:dyDescent="0.25">
      <c r="A95" s="58" t="s">
        <v>650</v>
      </c>
      <c r="B95" s="7" t="s">
        <v>378</v>
      </c>
      <c r="C95" s="7"/>
      <c r="D95" s="7"/>
      <c r="E95" s="7"/>
      <c r="F95" s="7"/>
      <c r="G95" s="59">
        <f t="shared" ref="G95:H95" si="49">G97</f>
        <v>250</v>
      </c>
      <c r="H95" s="347">
        <f t="shared" si="49"/>
        <v>84</v>
      </c>
      <c r="I95" s="4">
        <f t="shared" si="43"/>
        <v>33.6</v>
      </c>
    </row>
    <row r="96" spans="1:9" s="217" customFormat="1" ht="47.25" x14ac:dyDescent="0.25">
      <c r="A96" s="23" t="s">
        <v>1208</v>
      </c>
      <c r="B96" s="24" t="s">
        <v>986</v>
      </c>
      <c r="C96" s="7"/>
      <c r="D96" s="7"/>
      <c r="E96" s="7"/>
      <c r="F96" s="7"/>
      <c r="G96" s="59">
        <f>G97</f>
        <v>250</v>
      </c>
      <c r="H96" s="347">
        <f t="shared" ref="H96" si="50">H97</f>
        <v>84</v>
      </c>
      <c r="I96" s="4">
        <f t="shared" si="43"/>
        <v>33.6</v>
      </c>
    </row>
    <row r="97" spans="1:9" ht="15.75" x14ac:dyDescent="0.25">
      <c r="A97" s="45" t="s">
        <v>259</v>
      </c>
      <c r="B97" s="40" t="s">
        <v>986</v>
      </c>
      <c r="C97" s="40" t="s">
        <v>260</v>
      </c>
      <c r="D97" s="40"/>
      <c r="E97" s="40"/>
      <c r="F97" s="40"/>
      <c r="G97" s="10">
        <f t="shared" ref="G97:H100" si="51">G98</f>
        <v>250</v>
      </c>
      <c r="H97" s="335">
        <f t="shared" si="51"/>
        <v>84</v>
      </c>
      <c r="I97" s="6">
        <f t="shared" si="43"/>
        <v>33.6</v>
      </c>
    </row>
    <row r="98" spans="1:9" ht="21.75" customHeight="1" x14ac:dyDescent="0.25">
      <c r="A98" s="45" t="s">
        <v>268</v>
      </c>
      <c r="B98" s="40" t="s">
        <v>986</v>
      </c>
      <c r="C98" s="40" t="s">
        <v>260</v>
      </c>
      <c r="D98" s="40" t="s">
        <v>231</v>
      </c>
      <c r="E98" s="40"/>
      <c r="F98" s="40"/>
      <c r="G98" s="10">
        <f>G99</f>
        <v>250</v>
      </c>
      <c r="H98" s="335">
        <f t="shared" si="51"/>
        <v>84</v>
      </c>
      <c r="I98" s="6">
        <f t="shared" si="43"/>
        <v>33.6</v>
      </c>
    </row>
    <row r="99" spans="1:9" ht="47.25" x14ac:dyDescent="0.25">
      <c r="A99" s="25" t="s">
        <v>1207</v>
      </c>
      <c r="B99" s="20" t="s">
        <v>985</v>
      </c>
      <c r="C99" s="40" t="s">
        <v>260</v>
      </c>
      <c r="D99" s="40" t="s">
        <v>231</v>
      </c>
      <c r="E99" s="40"/>
      <c r="F99" s="40"/>
      <c r="G99" s="10">
        <f t="shared" si="51"/>
        <v>250</v>
      </c>
      <c r="H99" s="335">
        <f t="shared" si="51"/>
        <v>84</v>
      </c>
      <c r="I99" s="6">
        <f t="shared" si="43"/>
        <v>33.6</v>
      </c>
    </row>
    <row r="100" spans="1:9" ht="15.75" x14ac:dyDescent="0.25">
      <c r="A100" s="25" t="s">
        <v>264</v>
      </c>
      <c r="B100" s="20" t="s">
        <v>985</v>
      </c>
      <c r="C100" s="40" t="s">
        <v>260</v>
      </c>
      <c r="D100" s="40" t="s">
        <v>231</v>
      </c>
      <c r="E100" s="40" t="s">
        <v>265</v>
      </c>
      <c r="F100" s="40"/>
      <c r="G100" s="10">
        <f t="shared" si="51"/>
        <v>250</v>
      </c>
      <c r="H100" s="335">
        <f t="shared" si="51"/>
        <v>84</v>
      </c>
      <c r="I100" s="6">
        <f t="shared" si="43"/>
        <v>33.6</v>
      </c>
    </row>
    <row r="101" spans="1:9" ht="31.5" x14ac:dyDescent="0.25">
      <c r="A101" s="25" t="s">
        <v>364</v>
      </c>
      <c r="B101" s="20" t="s">
        <v>985</v>
      </c>
      <c r="C101" s="40" t="s">
        <v>260</v>
      </c>
      <c r="D101" s="40" t="s">
        <v>231</v>
      </c>
      <c r="E101" s="40" t="s">
        <v>365</v>
      </c>
      <c r="F101" s="40"/>
      <c r="G101" s="10">
        <f>'Пр.4 ведом.20'!G472</f>
        <v>250</v>
      </c>
      <c r="H101" s="335">
        <f>'Пр.4 ведом.20'!H472</f>
        <v>84</v>
      </c>
      <c r="I101" s="6">
        <f t="shared" si="43"/>
        <v>33.6</v>
      </c>
    </row>
    <row r="102" spans="1:9" ht="47.25" x14ac:dyDescent="0.25">
      <c r="A102" s="45" t="s">
        <v>277</v>
      </c>
      <c r="B102" s="20" t="s">
        <v>985</v>
      </c>
      <c r="C102" s="40" t="s">
        <v>260</v>
      </c>
      <c r="D102" s="40" t="s">
        <v>231</v>
      </c>
      <c r="E102" s="40" t="s">
        <v>365</v>
      </c>
      <c r="F102" s="40" t="s">
        <v>644</v>
      </c>
      <c r="G102" s="10">
        <f t="shared" ref="G102:H102" si="52">G95</f>
        <v>250</v>
      </c>
      <c r="H102" s="335">
        <f t="shared" si="52"/>
        <v>84</v>
      </c>
      <c r="I102" s="6">
        <f t="shared" si="43"/>
        <v>33.6</v>
      </c>
    </row>
    <row r="103" spans="1:9" ht="47.25" x14ac:dyDescent="0.25">
      <c r="A103" s="58" t="s">
        <v>380</v>
      </c>
      <c r="B103" s="7" t="s">
        <v>381</v>
      </c>
      <c r="C103" s="7"/>
      <c r="D103" s="7"/>
      <c r="E103" s="7"/>
      <c r="F103" s="7"/>
      <c r="G103" s="59">
        <f t="shared" ref="G103:H103" si="53">G105</f>
        <v>260</v>
      </c>
      <c r="H103" s="347">
        <f t="shared" si="53"/>
        <v>0</v>
      </c>
      <c r="I103" s="4">
        <f t="shared" si="43"/>
        <v>0</v>
      </c>
    </row>
    <row r="104" spans="1:9" s="217" customFormat="1" ht="31.5" x14ac:dyDescent="0.25">
      <c r="A104" s="23" t="s">
        <v>1147</v>
      </c>
      <c r="B104" s="24" t="s">
        <v>966</v>
      </c>
      <c r="C104" s="7"/>
      <c r="D104" s="7"/>
      <c r="E104" s="7"/>
      <c r="F104" s="7"/>
      <c r="G104" s="59">
        <f>G105</f>
        <v>260</v>
      </c>
      <c r="H104" s="347">
        <f t="shared" ref="H104:H106" si="54">H105</f>
        <v>0</v>
      </c>
      <c r="I104" s="4">
        <f t="shared" si="43"/>
        <v>0</v>
      </c>
    </row>
    <row r="105" spans="1:9" ht="15.75" x14ac:dyDescent="0.25">
      <c r="A105" s="45" t="s">
        <v>314</v>
      </c>
      <c r="B105" s="40" t="s">
        <v>966</v>
      </c>
      <c r="C105" s="40" t="s">
        <v>315</v>
      </c>
      <c r="D105" s="40"/>
      <c r="E105" s="40"/>
      <c r="F105" s="40"/>
      <c r="G105" s="10">
        <f>G106</f>
        <v>260</v>
      </c>
      <c r="H105" s="335">
        <f t="shared" si="54"/>
        <v>0</v>
      </c>
      <c r="I105" s="6">
        <f t="shared" si="43"/>
        <v>0</v>
      </c>
    </row>
    <row r="106" spans="1:9" ht="15.75" x14ac:dyDescent="0.25">
      <c r="A106" s="45" t="s">
        <v>349</v>
      </c>
      <c r="B106" s="40" t="s">
        <v>966</v>
      </c>
      <c r="C106" s="40" t="s">
        <v>315</v>
      </c>
      <c r="D106" s="40" t="s">
        <v>166</v>
      </c>
      <c r="E106" s="40"/>
      <c r="F106" s="40"/>
      <c r="G106" s="10">
        <f>G107</f>
        <v>260</v>
      </c>
      <c r="H106" s="335">
        <f t="shared" si="54"/>
        <v>0</v>
      </c>
      <c r="I106" s="6">
        <f t="shared" si="43"/>
        <v>0</v>
      </c>
    </row>
    <row r="107" spans="1:9" ht="37.5" customHeight="1" x14ac:dyDescent="0.25">
      <c r="A107" s="29" t="s">
        <v>173</v>
      </c>
      <c r="B107" s="20" t="s">
        <v>1223</v>
      </c>
      <c r="C107" s="40" t="s">
        <v>315</v>
      </c>
      <c r="D107" s="40" t="s">
        <v>166</v>
      </c>
      <c r="E107" s="40"/>
      <c r="F107" s="40"/>
      <c r="G107" s="10">
        <f t="shared" ref="G107:H108" si="55">G108</f>
        <v>260</v>
      </c>
      <c r="H107" s="335">
        <f t="shared" si="55"/>
        <v>0</v>
      </c>
      <c r="I107" s="6">
        <f t="shared" si="43"/>
        <v>0</v>
      </c>
    </row>
    <row r="108" spans="1:9" ht="31.5" x14ac:dyDescent="0.25">
      <c r="A108" s="29" t="s">
        <v>147</v>
      </c>
      <c r="B108" s="20" t="s">
        <v>1223</v>
      </c>
      <c r="C108" s="40" t="s">
        <v>315</v>
      </c>
      <c r="D108" s="40" t="s">
        <v>166</v>
      </c>
      <c r="E108" s="40" t="s">
        <v>148</v>
      </c>
      <c r="F108" s="40"/>
      <c r="G108" s="10">
        <f t="shared" si="55"/>
        <v>260</v>
      </c>
      <c r="H108" s="335">
        <f t="shared" si="55"/>
        <v>0</v>
      </c>
      <c r="I108" s="6">
        <f t="shared" si="43"/>
        <v>0</v>
      </c>
    </row>
    <row r="109" spans="1:9" ht="31.5" x14ac:dyDescent="0.25">
      <c r="A109" s="29" t="s">
        <v>149</v>
      </c>
      <c r="B109" s="20" t="s">
        <v>1223</v>
      </c>
      <c r="C109" s="40" t="s">
        <v>315</v>
      </c>
      <c r="D109" s="40" t="s">
        <v>166</v>
      </c>
      <c r="E109" s="40" t="s">
        <v>150</v>
      </c>
      <c r="F109" s="40"/>
      <c r="G109" s="10">
        <f>'Пр.4 ведом.20'!G443</f>
        <v>260</v>
      </c>
      <c r="H109" s="335">
        <f>'Пр.4 ведом.20'!H443</f>
        <v>0</v>
      </c>
      <c r="I109" s="6">
        <f t="shared" si="43"/>
        <v>0</v>
      </c>
    </row>
    <row r="110" spans="1:9" ht="47.25" x14ac:dyDescent="0.25">
      <c r="A110" s="45" t="s">
        <v>277</v>
      </c>
      <c r="B110" s="20" t="s">
        <v>1223</v>
      </c>
      <c r="C110" s="40" t="s">
        <v>315</v>
      </c>
      <c r="D110" s="40" t="s">
        <v>166</v>
      </c>
      <c r="E110" s="40" t="s">
        <v>150</v>
      </c>
      <c r="F110" s="40" t="s">
        <v>644</v>
      </c>
      <c r="G110" s="10">
        <f t="shared" ref="G110:H110" si="56">G103</f>
        <v>260</v>
      </c>
      <c r="H110" s="335">
        <f t="shared" si="56"/>
        <v>0</v>
      </c>
      <c r="I110" s="6">
        <f t="shared" si="43"/>
        <v>0</v>
      </c>
    </row>
    <row r="111" spans="1:9" ht="47.25" x14ac:dyDescent="0.25">
      <c r="A111" s="41" t="s">
        <v>383</v>
      </c>
      <c r="B111" s="7" t="s">
        <v>384</v>
      </c>
      <c r="C111" s="7"/>
      <c r="D111" s="7"/>
      <c r="E111" s="7"/>
      <c r="F111" s="7"/>
      <c r="G111" s="59">
        <f>G112+G123+G134+G145</f>
        <v>270</v>
      </c>
      <c r="H111" s="347">
        <f t="shared" ref="H111" si="57">H112+H123+H134+H145</f>
        <v>0</v>
      </c>
      <c r="I111" s="4">
        <f t="shared" si="43"/>
        <v>0</v>
      </c>
    </row>
    <row r="112" spans="1:9" s="217" customFormat="1" ht="47.25" hidden="1" x14ac:dyDescent="0.25">
      <c r="A112" s="227" t="s">
        <v>1211</v>
      </c>
      <c r="B112" s="24" t="s">
        <v>937</v>
      </c>
      <c r="C112" s="7"/>
      <c r="D112" s="7"/>
      <c r="E112" s="7"/>
      <c r="F112" s="7"/>
      <c r="G112" s="59">
        <f>G113</f>
        <v>0</v>
      </c>
      <c r="H112" s="347">
        <f t="shared" ref="H112" si="58">H113</f>
        <v>0</v>
      </c>
      <c r="I112" s="4" t="e">
        <f t="shared" si="43"/>
        <v>#DIV/0!</v>
      </c>
    </row>
    <row r="113" spans="1:9" ht="15.75" hidden="1" x14ac:dyDescent="0.25">
      <c r="A113" s="45" t="s">
        <v>248</v>
      </c>
      <c r="B113" s="40" t="s">
        <v>937</v>
      </c>
      <c r="C113" s="40" t="s">
        <v>166</v>
      </c>
      <c r="D113" s="40"/>
      <c r="E113" s="40"/>
      <c r="F113" s="40"/>
      <c r="G113" s="10">
        <f t="shared" ref="G113:H113" si="59">G114</f>
        <v>0</v>
      </c>
      <c r="H113" s="335">
        <f t="shared" si="59"/>
        <v>0</v>
      </c>
      <c r="I113" s="4" t="e">
        <f t="shared" si="43"/>
        <v>#DIV/0!</v>
      </c>
    </row>
    <row r="114" spans="1:9" ht="18" hidden="1" customHeight="1" x14ac:dyDescent="0.25">
      <c r="A114" s="45" t="s">
        <v>253</v>
      </c>
      <c r="B114" s="40" t="s">
        <v>937</v>
      </c>
      <c r="C114" s="40" t="s">
        <v>166</v>
      </c>
      <c r="D114" s="40" t="s">
        <v>254</v>
      </c>
      <c r="E114" s="40"/>
      <c r="F114" s="40"/>
      <c r="G114" s="10">
        <f>G115+G119</f>
        <v>0</v>
      </c>
      <c r="H114" s="335">
        <f t="shared" ref="H114" si="60">H115+H119</f>
        <v>0</v>
      </c>
      <c r="I114" s="4" t="e">
        <f t="shared" si="43"/>
        <v>#DIV/0!</v>
      </c>
    </row>
    <row r="115" spans="1:9" ht="31.7" hidden="1" customHeight="1" x14ac:dyDescent="0.25">
      <c r="A115" s="25" t="s">
        <v>391</v>
      </c>
      <c r="B115" s="20" t="s">
        <v>1212</v>
      </c>
      <c r="C115" s="40" t="s">
        <v>166</v>
      </c>
      <c r="D115" s="40" t="s">
        <v>254</v>
      </c>
      <c r="E115" s="40"/>
      <c r="F115" s="40"/>
      <c r="G115" s="10">
        <f t="shared" ref="G115:H116" si="61">G116</f>
        <v>0</v>
      </c>
      <c r="H115" s="335">
        <f t="shared" si="61"/>
        <v>0</v>
      </c>
      <c r="I115" s="4" t="e">
        <f t="shared" si="43"/>
        <v>#DIV/0!</v>
      </c>
    </row>
    <row r="116" spans="1:9" ht="22.7" hidden="1" customHeight="1" x14ac:dyDescent="0.25">
      <c r="A116" s="25" t="s">
        <v>264</v>
      </c>
      <c r="B116" s="20" t="s">
        <v>1212</v>
      </c>
      <c r="C116" s="40" t="s">
        <v>166</v>
      </c>
      <c r="D116" s="40" t="s">
        <v>254</v>
      </c>
      <c r="E116" s="40" t="s">
        <v>265</v>
      </c>
      <c r="F116" s="40"/>
      <c r="G116" s="10">
        <f>G117</f>
        <v>0</v>
      </c>
      <c r="H116" s="335">
        <f t="shared" si="61"/>
        <v>0</v>
      </c>
      <c r="I116" s="4" t="e">
        <f t="shared" si="43"/>
        <v>#DIV/0!</v>
      </c>
    </row>
    <row r="117" spans="1:9" ht="31.5" hidden="1" x14ac:dyDescent="0.25">
      <c r="A117" s="25" t="s">
        <v>266</v>
      </c>
      <c r="B117" s="20" t="s">
        <v>1212</v>
      </c>
      <c r="C117" s="40" t="s">
        <v>166</v>
      </c>
      <c r="D117" s="40" t="s">
        <v>254</v>
      </c>
      <c r="E117" s="40" t="s">
        <v>267</v>
      </c>
      <c r="F117" s="40"/>
      <c r="G117" s="10">
        <f>'Пр.3 Рд,пр, ЦС,ВР 20'!F300</f>
        <v>0</v>
      </c>
      <c r="H117" s="335">
        <f>'Пр.3 Рд,пр, ЦС,ВР 20'!G300</f>
        <v>0</v>
      </c>
      <c r="I117" s="4" t="e">
        <f t="shared" si="43"/>
        <v>#DIV/0!</v>
      </c>
    </row>
    <row r="118" spans="1:9" s="217" customFormat="1" ht="47.25" hidden="1" x14ac:dyDescent="0.25">
      <c r="A118" s="45" t="s">
        <v>277</v>
      </c>
      <c r="B118" s="20" t="s">
        <v>1212</v>
      </c>
      <c r="C118" s="40" t="s">
        <v>166</v>
      </c>
      <c r="D118" s="40" t="s">
        <v>254</v>
      </c>
      <c r="E118" s="40" t="s">
        <v>267</v>
      </c>
      <c r="F118" s="40" t="s">
        <v>644</v>
      </c>
      <c r="G118" s="10">
        <f>G117</f>
        <v>0</v>
      </c>
      <c r="H118" s="335">
        <f t="shared" ref="H118" si="62">H117</f>
        <v>0</v>
      </c>
      <c r="I118" s="4" t="e">
        <f t="shared" si="43"/>
        <v>#DIV/0!</v>
      </c>
    </row>
    <row r="119" spans="1:9" ht="54.75" hidden="1" customHeight="1" x14ac:dyDescent="0.25">
      <c r="A119" s="25" t="s">
        <v>391</v>
      </c>
      <c r="B119" s="20" t="s">
        <v>1213</v>
      </c>
      <c r="C119" s="40" t="s">
        <v>166</v>
      </c>
      <c r="D119" s="40" t="s">
        <v>254</v>
      </c>
      <c r="E119" s="40"/>
      <c r="F119" s="40"/>
      <c r="G119" s="10">
        <f>G120</f>
        <v>0</v>
      </c>
      <c r="H119" s="335">
        <f t="shared" ref="H119:H120" si="63">H120</f>
        <v>0</v>
      </c>
      <c r="I119" s="4" t="e">
        <f t="shared" si="43"/>
        <v>#DIV/0!</v>
      </c>
    </row>
    <row r="120" spans="1:9" ht="15.75" hidden="1" x14ac:dyDescent="0.25">
      <c r="A120" s="25" t="s">
        <v>264</v>
      </c>
      <c r="B120" s="20" t="s">
        <v>1213</v>
      </c>
      <c r="C120" s="40" t="s">
        <v>166</v>
      </c>
      <c r="D120" s="40" t="s">
        <v>254</v>
      </c>
      <c r="E120" s="40" t="s">
        <v>265</v>
      </c>
      <c r="F120" s="40"/>
      <c r="G120" s="10">
        <f>G121</f>
        <v>0</v>
      </c>
      <c r="H120" s="335">
        <f t="shared" si="63"/>
        <v>0</v>
      </c>
      <c r="I120" s="4" t="e">
        <f t="shared" si="43"/>
        <v>#DIV/0!</v>
      </c>
    </row>
    <row r="121" spans="1:9" ht="31.5" hidden="1" x14ac:dyDescent="0.25">
      <c r="A121" s="25" t="s">
        <v>266</v>
      </c>
      <c r="B121" s="20" t="s">
        <v>1213</v>
      </c>
      <c r="C121" s="40" t="s">
        <v>166</v>
      </c>
      <c r="D121" s="40" t="s">
        <v>254</v>
      </c>
      <c r="E121" s="40" t="s">
        <v>267</v>
      </c>
      <c r="F121" s="40"/>
      <c r="G121" s="10">
        <f>'Пр.3 Рд,пр, ЦС,ВР 20'!F303</f>
        <v>0</v>
      </c>
      <c r="H121" s="335">
        <f>'Пр.3 Рд,пр, ЦС,ВР 20'!G303</f>
        <v>0</v>
      </c>
      <c r="I121" s="4" t="e">
        <f t="shared" si="43"/>
        <v>#DIV/0!</v>
      </c>
    </row>
    <row r="122" spans="1:9" s="217" customFormat="1" ht="47.25" hidden="1" x14ac:dyDescent="0.25">
      <c r="A122" s="45" t="s">
        <v>277</v>
      </c>
      <c r="B122" s="20" t="s">
        <v>1213</v>
      </c>
      <c r="C122" s="40" t="s">
        <v>166</v>
      </c>
      <c r="D122" s="40" t="s">
        <v>254</v>
      </c>
      <c r="E122" s="40" t="s">
        <v>267</v>
      </c>
      <c r="F122" s="40" t="s">
        <v>644</v>
      </c>
      <c r="G122" s="10">
        <f>G121</f>
        <v>0</v>
      </c>
      <c r="H122" s="335">
        <f t="shared" ref="H122" si="64">H121</f>
        <v>0</v>
      </c>
      <c r="I122" s="4" t="e">
        <f t="shared" si="43"/>
        <v>#DIV/0!</v>
      </c>
    </row>
    <row r="123" spans="1:9" ht="31.5" x14ac:dyDescent="0.25">
      <c r="A123" s="23" t="s">
        <v>1209</v>
      </c>
      <c r="B123" s="24" t="s">
        <v>938</v>
      </c>
      <c r="C123" s="7"/>
      <c r="D123" s="7"/>
      <c r="E123" s="7"/>
      <c r="F123" s="7"/>
      <c r="G123" s="59">
        <f>G126+G130</f>
        <v>260</v>
      </c>
      <c r="H123" s="347">
        <f t="shared" ref="H123" si="65">H126+H130</f>
        <v>0</v>
      </c>
      <c r="I123" s="4">
        <f t="shared" si="43"/>
        <v>0</v>
      </c>
    </row>
    <row r="124" spans="1:9" s="217" customFormat="1" ht="15.75" x14ac:dyDescent="0.25">
      <c r="A124" s="45" t="s">
        <v>248</v>
      </c>
      <c r="B124" s="40" t="s">
        <v>938</v>
      </c>
      <c r="C124" s="40" t="s">
        <v>166</v>
      </c>
      <c r="D124" s="40"/>
      <c r="E124" s="40"/>
      <c r="F124" s="40"/>
      <c r="G124" s="10">
        <f t="shared" ref="G124:H124" si="66">G125</f>
        <v>260</v>
      </c>
      <c r="H124" s="335">
        <f t="shared" si="66"/>
        <v>0</v>
      </c>
      <c r="I124" s="6">
        <f t="shared" si="43"/>
        <v>0</v>
      </c>
    </row>
    <row r="125" spans="1:9" s="217" customFormat="1" ht="15.75" x14ac:dyDescent="0.25">
      <c r="A125" s="45" t="s">
        <v>253</v>
      </c>
      <c r="B125" s="40" t="s">
        <v>938</v>
      </c>
      <c r="C125" s="40" t="s">
        <v>166</v>
      </c>
      <c r="D125" s="40" t="s">
        <v>254</v>
      </c>
      <c r="E125" s="40"/>
      <c r="F125" s="40"/>
      <c r="G125" s="10">
        <f>G126+G130</f>
        <v>260</v>
      </c>
      <c r="H125" s="335">
        <f t="shared" ref="H125" si="67">H126+H130</f>
        <v>0</v>
      </c>
      <c r="I125" s="6">
        <f t="shared" si="43"/>
        <v>0</v>
      </c>
    </row>
    <row r="126" spans="1:9" s="217" customFormat="1" ht="31.5" x14ac:dyDescent="0.25">
      <c r="A126" s="25" t="s">
        <v>1210</v>
      </c>
      <c r="B126" s="20" t="s">
        <v>1214</v>
      </c>
      <c r="C126" s="40" t="s">
        <v>166</v>
      </c>
      <c r="D126" s="40" t="s">
        <v>254</v>
      </c>
      <c r="E126" s="40"/>
      <c r="F126" s="40"/>
      <c r="G126" s="10">
        <f>G127</f>
        <v>60</v>
      </c>
      <c r="H126" s="335">
        <f t="shared" ref="H126:H127" si="68">H127</f>
        <v>0</v>
      </c>
      <c r="I126" s="6">
        <f t="shared" si="43"/>
        <v>0</v>
      </c>
    </row>
    <row r="127" spans="1:9" s="217" customFormat="1" ht="31.5" x14ac:dyDescent="0.25">
      <c r="A127" s="25" t="s">
        <v>288</v>
      </c>
      <c r="B127" s="20" t="s">
        <v>1214</v>
      </c>
      <c r="C127" s="40" t="s">
        <v>166</v>
      </c>
      <c r="D127" s="40" t="s">
        <v>254</v>
      </c>
      <c r="E127" s="40" t="s">
        <v>289</v>
      </c>
      <c r="F127" s="40"/>
      <c r="G127" s="10">
        <f>G128</f>
        <v>60</v>
      </c>
      <c r="H127" s="335">
        <f t="shared" si="68"/>
        <v>0</v>
      </c>
      <c r="I127" s="6">
        <f t="shared" si="43"/>
        <v>0</v>
      </c>
    </row>
    <row r="128" spans="1:9" s="217" customFormat="1" ht="63" x14ac:dyDescent="0.25">
      <c r="A128" s="25" t="s">
        <v>1291</v>
      </c>
      <c r="B128" s="20" t="s">
        <v>1214</v>
      </c>
      <c r="C128" s="40" t="s">
        <v>166</v>
      </c>
      <c r="D128" s="40" t="s">
        <v>254</v>
      </c>
      <c r="E128" s="40" t="s">
        <v>388</v>
      </c>
      <c r="F128" s="40"/>
      <c r="G128" s="10">
        <f>'Пр.3 Рд,пр, ЦС,ВР 20'!F307</f>
        <v>60</v>
      </c>
      <c r="H128" s="335">
        <f>'Пр.3 Рд,пр, ЦС,ВР 20'!G307</f>
        <v>0</v>
      </c>
      <c r="I128" s="6">
        <f t="shared" si="43"/>
        <v>0</v>
      </c>
    </row>
    <row r="129" spans="1:9" s="217" customFormat="1" ht="47.25" x14ac:dyDescent="0.25">
      <c r="A129" s="45" t="s">
        <v>277</v>
      </c>
      <c r="B129" s="20" t="s">
        <v>1214</v>
      </c>
      <c r="C129" s="40" t="s">
        <v>166</v>
      </c>
      <c r="D129" s="40" t="s">
        <v>254</v>
      </c>
      <c r="E129" s="40" t="s">
        <v>388</v>
      </c>
      <c r="F129" s="40" t="s">
        <v>644</v>
      </c>
      <c r="G129" s="10">
        <f>G128</f>
        <v>60</v>
      </c>
      <c r="H129" s="335">
        <f t="shared" ref="H129" si="69">H128</f>
        <v>0</v>
      </c>
      <c r="I129" s="6">
        <f t="shared" si="43"/>
        <v>0</v>
      </c>
    </row>
    <row r="130" spans="1:9" s="217" customFormat="1" ht="110.25" x14ac:dyDescent="0.25">
      <c r="A130" s="25" t="s">
        <v>389</v>
      </c>
      <c r="B130" s="20" t="s">
        <v>1215</v>
      </c>
      <c r="C130" s="40" t="s">
        <v>166</v>
      </c>
      <c r="D130" s="40" t="s">
        <v>254</v>
      </c>
      <c r="E130" s="40"/>
      <c r="F130" s="40"/>
      <c r="G130" s="10">
        <f>G131</f>
        <v>200</v>
      </c>
      <c r="H130" s="335">
        <f t="shared" ref="H130:H131" si="70">H131</f>
        <v>0</v>
      </c>
      <c r="I130" s="6">
        <f t="shared" si="43"/>
        <v>0</v>
      </c>
    </row>
    <row r="131" spans="1:9" s="217" customFormat="1" ht="31.5" x14ac:dyDescent="0.25">
      <c r="A131" s="25" t="s">
        <v>288</v>
      </c>
      <c r="B131" s="20" t="s">
        <v>1215</v>
      </c>
      <c r="C131" s="40" t="s">
        <v>166</v>
      </c>
      <c r="D131" s="40" t="s">
        <v>254</v>
      </c>
      <c r="E131" s="40" t="s">
        <v>289</v>
      </c>
      <c r="F131" s="40"/>
      <c r="G131" s="10">
        <f>G132</f>
        <v>200</v>
      </c>
      <c r="H131" s="335">
        <f t="shared" si="70"/>
        <v>0</v>
      </c>
      <c r="I131" s="6">
        <f t="shared" si="43"/>
        <v>0</v>
      </c>
    </row>
    <row r="132" spans="1:9" s="217" customFormat="1" ht="63" x14ac:dyDescent="0.25">
      <c r="A132" s="25" t="s">
        <v>1291</v>
      </c>
      <c r="B132" s="20" t="s">
        <v>1215</v>
      </c>
      <c r="C132" s="40" t="s">
        <v>166</v>
      </c>
      <c r="D132" s="40" t="s">
        <v>254</v>
      </c>
      <c r="E132" s="40" t="s">
        <v>388</v>
      </c>
      <c r="F132" s="40"/>
      <c r="G132" s="10">
        <f>'Пр.3 Рд,пр, ЦС,ВР 20'!F310</f>
        <v>200</v>
      </c>
      <c r="H132" s="335">
        <f>'Пр.3 Рд,пр, ЦС,ВР 20'!G310</f>
        <v>0</v>
      </c>
      <c r="I132" s="6">
        <f t="shared" si="43"/>
        <v>0</v>
      </c>
    </row>
    <row r="133" spans="1:9" s="217" customFormat="1" ht="47.25" x14ac:dyDescent="0.25">
      <c r="A133" s="45" t="s">
        <v>277</v>
      </c>
      <c r="B133" s="20" t="s">
        <v>1215</v>
      </c>
      <c r="C133" s="40" t="s">
        <v>166</v>
      </c>
      <c r="D133" s="40" t="s">
        <v>254</v>
      </c>
      <c r="E133" s="40" t="s">
        <v>388</v>
      </c>
      <c r="F133" s="40" t="s">
        <v>644</v>
      </c>
      <c r="G133" s="10">
        <f>G132</f>
        <v>200</v>
      </c>
      <c r="H133" s="335">
        <f t="shared" ref="H133" si="71">H132</f>
        <v>0</v>
      </c>
      <c r="I133" s="6">
        <f t="shared" si="43"/>
        <v>0</v>
      </c>
    </row>
    <row r="134" spans="1:9" s="217" customFormat="1" ht="31.5" hidden="1" x14ac:dyDescent="0.25">
      <c r="A134" s="23" t="s">
        <v>1145</v>
      </c>
      <c r="B134" s="24" t="s">
        <v>939</v>
      </c>
      <c r="C134" s="7"/>
      <c r="D134" s="7"/>
      <c r="E134" s="7"/>
      <c r="F134" s="7"/>
      <c r="G134" s="59">
        <f>G137+G141</f>
        <v>0</v>
      </c>
      <c r="H134" s="347">
        <f t="shared" ref="H134" si="72">H137+H141</f>
        <v>0</v>
      </c>
      <c r="I134" s="6" t="e">
        <f t="shared" si="43"/>
        <v>#DIV/0!</v>
      </c>
    </row>
    <row r="135" spans="1:9" s="217" customFormat="1" ht="15.75" hidden="1" x14ac:dyDescent="0.25">
      <c r="A135" s="45" t="s">
        <v>248</v>
      </c>
      <c r="B135" s="40" t="s">
        <v>939</v>
      </c>
      <c r="C135" s="40" t="s">
        <v>166</v>
      </c>
      <c r="D135" s="40"/>
      <c r="E135" s="40"/>
      <c r="F135" s="40"/>
      <c r="G135" s="10">
        <f t="shared" ref="G135:H135" si="73">G136</f>
        <v>0</v>
      </c>
      <c r="H135" s="335">
        <f t="shared" si="73"/>
        <v>0</v>
      </c>
      <c r="I135" s="6" t="e">
        <f t="shared" si="43"/>
        <v>#DIV/0!</v>
      </c>
    </row>
    <row r="136" spans="1:9" s="217" customFormat="1" ht="15.75" hidden="1" x14ac:dyDescent="0.25">
      <c r="A136" s="45" t="s">
        <v>253</v>
      </c>
      <c r="B136" s="40" t="s">
        <v>939</v>
      </c>
      <c r="C136" s="40" t="s">
        <v>166</v>
      </c>
      <c r="D136" s="40" t="s">
        <v>254</v>
      </c>
      <c r="E136" s="40"/>
      <c r="F136" s="40"/>
      <c r="G136" s="10">
        <f>G137+G141</f>
        <v>0</v>
      </c>
      <c r="H136" s="335">
        <f t="shared" ref="H136" si="74">H137+H141</f>
        <v>0</v>
      </c>
      <c r="I136" s="6" t="e">
        <f t="shared" si="43"/>
        <v>#DIV/0!</v>
      </c>
    </row>
    <row r="137" spans="1:9" s="217" customFormat="1" ht="31.5" hidden="1" x14ac:dyDescent="0.25">
      <c r="A137" s="270" t="s">
        <v>1218</v>
      </c>
      <c r="B137" s="20" t="s">
        <v>1216</v>
      </c>
      <c r="C137" s="40" t="s">
        <v>166</v>
      </c>
      <c r="D137" s="40" t="s">
        <v>254</v>
      </c>
      <c r="E137" s="40"/>
      <c r="F137" s="40"/>
      <c r="G137" s="10">
        <f>G138</f>
        <v>0</v>
      </c>
      <c r="H137" s="335">
        <f t="shared" ref="H137:H138" si="75">H138</f>
        <v>0</v>
      </c>
      <c r="I137" s="6" t="e">
        <f t="shared" si="43"/>
        <v>#DIV/0!</v>
      </c>
    </row>
    <row r="138" spans="1:9" s="217" customFormat="1" ht="31.5" hidden="1" x14ac:dyDescent="0.25">
      <c r="A138" s="25" t="s">
        <v>147</v>
      </c>
      <c r="B138" s="20" t="s">
        <v>1216</v>
      </c>
      <c r="C138" s="40" t="s">
        <v>166</v>
      </c>
      <c r="D138" s="40" t="s">
        <v>254</v>
      </c>
      <c r="E138" s="40" t="s">
        <v>148</v>
      </c>
      <c r="F138" s="40"/>
      <c r="G138" s="10">
        <f>G139</f>
        <v>0</v>
      </c>
      <c r="H138" s="335">
        <f t="shared" si="75"/>
        <v>0</v>
      </c>
      <c r="I138" s="6" t="e">
        <f t="shared" si="43"/>
        <v>#DIV/0!</v>
      </c>
    </row>
    <row r="139" spans="1:9" s="217" customFormat="1" ht="31.5" hidden="1" x14ac:dyDescent="0.25">
      <c r="A139" s="25" t="s">
        <v>149</v>
      </c>
      <c r="B139" s="20" t="s">
        <v>1216</v>
      </c>
      <c r="C139" s="40" t="s">
        <v>166</v>
      </c>
      <c r="D139" s="40" t="s">
        <v>254</v>
      </c>
      <c r="E139" s="40" t="s">
        <v>150</v>
      </c>
      <c r="F139" s="40"/>
      <c r="G139" s="10">
        <f>'Пр.3 Рд,пр, ЦС,ВР 20'!F314</f>
        <v>0</v>
      </c>
      <c r="H139" s="335">
        <f>'Пр.3 Рд,пр, ЦС,ВР 20'!G314</f>
        <v>0</v>
      </c>
      <c r="I139" s="6" t="e">
        <f t="shared" si="43"/>
        <v>#DIV/0!</v>
      </c>
    </row>
    <row r="140" spans="1:9" s="217" customFormat="1" ht="47.25" hidden="1" x14ac:dyDescent="0.25">
      <c r="A140" s="45" t="s">
        <v>277</v>
      </c>
      <c r="B140" s="20" t="s">
        <v>1216</v>
      </c>
      <c r="C140" s="40" t="s">
        <v>166</v>
      </c>
      <c r="D140" s="40" t="s">
        <v>254</v>
      </c>
      <c r="E140" s="40" t="s">
        <v>150</v>
      </c>
      <c r="F140" s="9" t="s">
        <v>644</v>
      </c>
      <c r="G140" s="10">
        <f>G139</f>
        <v>0</v>
      </c>
      <c r="H140" s="335">
        <f t="shared" ref="H140" si="76">H139</f>
        <v>0</v>
      </c>
      <c r="I140" s="6" t="e">
        <f t="shared" si="43"/>
        <v>#DIV/0!</v>
      </c>
    </row>
    <row r="141" spans="1:9" s="217" customFormat="1" ht="31.5" hidden="1" x14ac:dyDescent="0.25">
      <c r="A141" s="25" t="s">
        <v>393</v>
      </c>
      <c r="B141" s="20" t="s">
        <v>1217</v>
      </c>
      <c r="C141" s="40" t="s">
        <v>166</v>
      </c>
      <c r="D141" s="40" t="s">
        <v>254</v>
      </c>
      <c r="E141" s="40"/>
      <c r="F141" s="40"/>
      <c r="G141" s="10">
        <f>G142</f>
        <v>0</v>
      </c>
      <c r="H141" s="335">
        <f t="shared" ref="H141:H142" si="77">H142</f>
        <v>0</v>
      </c>
      <c r="I141" s="6" t="e">
        <f t="shared" si="43"/>
        <v>#DIV/0!</v>
      </c>
    </row>
    <row r="142" spans="1:9" s="217" customFormat="1" ht="31.5" hidden="1" x14ac:dyDescent="0.25">
      <c r="A142" s="25" t="s">
        <v>147</v>
      </c>
      <c r="B142" s="20" t="s">
        <v>1217</v>
      </c>
      <c r="C142" s="40" t="s">
        <v>166</v>
      </c>
      <c r="D142" s="40" t="s">
        <v>254</v>
      </c>
      <c r="E142" s="40" t="s">
        <v>148</v>
      </c>
      <c r="F142" s="40"/>
      <c r="G142" s="10">
        <f>G143</f>
        <v>0</v>
      </c>
      <c r="H142" s="335">
        <f t="shared" si="77"/>
        <v>0</v>
      </c>
      <c r="I142" s="6" t="e">
        <f t="shared" si="43"/>
        <v>#DIV/0!</v>
      </c>
    </row>
    <row r="143" spans="1:9" s="217" customFormat="1" ht="31.5" hidden="1" x14ac:dyDescent="0.25">
      <c r="A143" s="25" t="s">
        <v>149</v>
      </c>
      <c r="B143" s="20" t="s">
        <v>1217</v>
      </c>
      <c r="C143" s="40" t="s">
        <v>166</v>
      </c>
      <c r="D143" s="40" t="s">
        <v>254</v>
      </c>
      <c r="E143" s="40" t="s">
        <v>150</v>
      </c>
      <c r="F143" s="40"/>
      <c r="G143" s="10">
        <f>'Пр.3 Рд,пр, ЦС,ВР 20'!F317</f>
        <v>0</v>
      </c>
      <c r="H143" s="335">
        <f>'Пр.3 Рд,пр, ЦС,ВР 20'!G317</f>
        <v>0</v>
      </c>
      <c r="I143" s="6" t="e">
        <f t="shared" si="43"/>
        <v>#DIV/0!</v>
      </c>
    </row>
    <row r="144" spans="1:9" ht="47.25" hidden="1" x14ac:dyDescent="0.25">
      <c r="A144" s="45" t="s">
        <v>277</v>
      </c>
      <c r="B144" s="20" t="s">
        <v>1217</v>
      </c>
      <c r="C144" s="40" t="s">
        <v>166</v>
      </c>
      <c r="D144" s="40" t="s">
        <v>254</v>
      </c>
      <c r="E144" s="40" t="s">
        <v>150</v>
      </c>
      <c r="F144" s="9" t="s">
        <v>644</v>
      </c>
      <c r="G144" s="10">
        <f>G143</f>
        <v>0</v>
      </c>
      <c r="H144" s="335">
        <f t="shared" ref="H144" si="78">H143</f>
        <v>0</v>
      </c>
      <c r="I144" s="6" t="e">
        <f t="shared" si="43"/>
        <v>#DIV/0!</v>
      </c>
    </row>
    <row r="145" spans="1:9" s="217" customFormat="1" ht="31.5" x14ac:dyDescent="0.25">
      <c r="A145" s="224" t="s">
        <v>1309</v>
      </c>
      <c r="B145" s="24" t="s">
        <v>1308</v>
      </c>
      <c r="C145" s="7"/>
      <c r="D145" s="7"/>
      <c r="E145" s="7"/>
      <c r="F145" s="7"/>
      <c r="G145" s="59">
        <f>G146</f>
        <v>10</v>
      </c>
      <c r="H145" s="347">
        <f t="shared" ref="H145" si="79">H146</f>
        <v>0</v>
      </c>
      <c r="I145" s="4">
        <f t="shared" si="43"/>
        <v>0</v>
      </c>
    </row>
    <row r="146" spans="1:9" s="217" customFormat="1" ht="15.75" x14ac:dyDescent="0.25">
      <c r="A146" s="45" t="s">
        <v>248</v>
      </c>
      <c r="B146" s="40" t="s">
        <v>1308</v>
      </c>
      <c r="C146" s="40" t="s">
        <v>166</v>
      </c>
      <c r="D146" s="40"/>
      <c r="E146" s="40"/>
      <c r="F146" s="40"/>
      <c r="G146" s="10">
        <f t="shared" ref="G146:H149" si="80">G147</f>
        <v>10</v>
      </c>
      <c r="H146" s="335">
        <f t="shared" si="80"/>
        <v>0</v>
      </c>
      <c r="I146" s="6">
        <f t="shared" si="43"/>
        <v>0</v>
      </c>
    </row>
    <row r="147" spans="1:9" s="217" customFormat="1" ht="15.75" x14ac:dyDescent="0.25">
      <c r="A147" s="45" t="s">
        <v>253</v>
      </c>
      <c r="B147" s="40" t="s">
        <v>1308</v>
      </c>
      <c r="C147" s="40" t="s">
        <v>166</v>
      </c>
      <c r="D147" s="40" t="s">
        <v>254</v>
      </c>
      <c r="E147" s="40"/>
      <c r="F147" s="40"/>
      <c r="G147" s="10">
        <f>G148</f>
        <v>10</v>
      </c>
      <c r="H147" s="335">
        <f t="shared" si="80"/>
        <v>0</v>
      </c>
      <c r="I147" s="6">
        <f t="shared" ref="I147:I210" si="81">H147/G147*100</f>
        <v>0</v>
      </c>
    </row>
    <row r="148" spans="1:9" s="217" customFormat="1" ht="31.5" x14ac:dyDescent="0.25">
      <c r="A148" s="248" t="s">
        <v>1310</v>
      </c>
      <c r="B148" s="20" t="s">
        <v>1360</v>
      </c>
      <c r="C148" s="40" t="s">
        <v>166</v>
      </c>
      <c r="D148" s="40" t="s">
        <v>254</v>
      </c>
      <c r="E148" s="40"/>
      <c r="F148" s="40"/>
      <c r="G148" s="10">
        <f>G149</f>
        <v>10</v>
      </c>
      <c r="H148" s="335">
        <f t="shared" si="80"/>
        <v>0</v>
      </c>
      <c r="I148" s="6">
        <f t="shared" si="81"/>
        <v>0</v>
      </c>
    </row>
    <row r="149" spans="1:9" s="217" customFormat="1" ht="31.5" x14ac:dyDescent="0.25">
      <c r="A149" s="25" t="s">
        <v>147</v>
      </c>
      <c r="B149" s="20" t="s">
        <v>1360</v>
      </c>
      <c r="C149" s="40" t="s">
        <v>166</v>
      </c>
      <c r="D149" s="40" t="s">
        <v>254</v>
      </c>
      <c r="E149" s="40" t="s">
        <v>148</v>
      </c>
      <c r="F149" s="40"/>
      <c r="G149" s="10">
        <f>G150</f>
        <v>10</v>
      </c>
      <c r="H149" s="335">
        <f t="shared" si="80"/>
        <v>0</v>
      </c>
      <c r="I149" s="6">
        <f t="shared" si="81"/>
        <v>0</v>
      </c>
    </row>
    <row r="150" spans="1:9" s="217" customFormat="1" ht="31.5" x14ac:dyDescent="0.25">
      <c r="A150" s="25" t="s">
        <v>149</v>
      </c>
      <c r="B150" s="20" t="s">
        <v>1360</v>
      </c>
      <c r="C150" s="40" t="s">
        <v>166</v>
      </c>
      <c r="D150" s="40" t="s">
        <v>254</v>
      </c>
      <c r="E150" s="40" t="s">
        <v>150</v>
      </c>
      <c r="F150" s="40"/>
      <c r="G150" s="10">
        <f>'Пр.4 ведом.20'!G273</f>
        <v>10</v>
      </c>
      <c r="H150" s="335">
        <f>'Пр.4 ведом.20'!H273</f>
        <v>0</v>
      </c>
      <c r="I150" s="6">
        <f t="shared" si="81"/>
        <v>0</v>
      </c>
    </row>
    <row r="151" spans="1:9" s="217" customFormat="1" ht="47.25" x14ac:dyDescent="0.25">
      <c r="A151" s="45" t="s">
        <v>277</v>
      </c>
      <c r="B151" s="20" t="s">
        <v>1360</v>
      </c>
      <c r="C151" s="40" t="s">
        <v>166</v>
      </c>
      <c r="D151" s="40" t="s">
        <v>254</v>
      </c>
      <c r="E151" s="40" t="s">
        <v>150</v>
      </c>
      <c r="F151" s="9" t="s">
        <v>644</v>
      </c>
      <c r="G151" s="10">
        <f>G150</f>
        <v>10</v>
      </c>
      <c r="H151" s="335">
        <f t="shared" ref="H151" si="82">H150</f>
        <v>0</v>
      </c>
      <c r="I151" s="6">
        <f t="shared" si="81"/>
        <v>0</v>
      </c>
    </row>
    <row r="152" spans="1:9" ht="80.45" customHeight="1" x14ac:dyDescent="0.25">
      <c r="A152" s="41" t="s">
        <v>396</v>
      </c>
      <c r="B152" s="7" t="s">
        <v>397</v>
      </c>
      <c r="C152" s="7"/>
      <c r="D152" s="7"/>
      <c r="E152" s="7"/>
      <c r="F152" s="8"/>
      <c r="G152" s="59">
        <f>G153</f>
        <v>188.7</v>
      </c>
      <c r="H152" s="347">
        <f t="shared" ref="H152:H153" si="83">H153</f>
        <v>131.5</v>
      </c>
      <c r="I152" s="4">
        <f t="shared" si="81"/>
        <v>69.687334393216744</v>
      </c>
    </row>
    <row r="153" spans="1:9" s="217" customFormat="1" ht="59.25" customHeight="1" x14ac:dyDescent="0.25">
      <c r="A153" s="268" t="s">
        <v>1219</v>
      </c>
      <c r="B153" s="7" t="s">
        <v>933</v>
      </c>
      <c r="C153" s="7"/>
      <c r="D153" s="7"/>
      <c r="E153" s="7"/>
      <c r="F153" s="8"/>
      <c r="G153" s="59">
        <f>G154</f>
        <v>188.7</v>
      </c>
      <c r="H153" s="347">
        <f t="shared" si="83"/>
        <v>131.5</v>
      </c>
      <c r="I153" s="4">
        <f t="shared" si="81"/>
        <v>69.687334393216744</v>
      </c>
    </row>
    <row r="154" spans="1:9" ht="15.75" x14ac:dyDescent="0.25">
      <c r="A154" s="45" t="s">
        <v>133</v>
      </c>
      <c r="B154" s="40" t="s">
        <v>933</v>
      </c>
      <c r="C154" s="40" t="s">
        <v>134</v>
      </c>
      <c r="D154" s="40"/>
      <c r="E154" s="40"/>
      <c r="F154" s="9"/>
      <c r="G154" s="10">
        <f t="shared" ref="G154:H157" si="84">G155</f>
        <v>188.7</v>
      </c>
      <c r="H154" s="335">
        <f t="shared" si="84"/>
        <v>131.5</v>
      </c>
      <c r="I154" s="6">
        <f t="shared" si="81"/>
        <v>69.687334393216744</v>
      </c>
    </row>
    <row r="155" spans="1:9" ht="21.2" customHeight="1" x14ac:dyDescent="0.25">
      <c r="A155" s="45" t="s">
        <v>155</v>
      </c>
      <c r="B155" s="40" t="s">
        <v>933</v>
      </c>
      <c r="C155" s="40" t="s">
        <v>134</v>
      </c>
      <c r="D155" s="40" t="s">
        <v>156</v>
      </c>
      <c r="E155" s="40"/>
      <c r="F155" s="9"/>
      <c r="G155" s="10">
        <f>G156+G160</f>
        <v>188.7</v>
      </c>
      <c r="H155" s="335">
        <f t="shared" ref="H155" si="85">H156+H160</f>
        <v>131.5</v>
      </c>
      <c r="I155" s="6">
        <f t="shared" si="81"/>
        <v>69.687334393216744</v>
      </c>
    </row>
    <row r="156" spans="1:9" ht="31.5" x14ac:dyDescent="0.25">
      <c r="A156" s="99" t="s">
        <v>1220</v>
      </c>
      <c r="B156" s="40" t="s">
        <v>934</v>
      </c>
      <c r="C156" s="40" t="s">
        <v>134</v>
      </c>
      <c r="D156" s="40" t="s">
        <v>156</v>
      </c>
      <c r="E156" s="40"/>
      <c r="F156" s="9"/>
      <c r="G156" s="10">
        <f t="shared" si="84"/>
        <v>188.7</v>
      </c>
      <c r="H156" s="335">
        <f t="shared" si="84"/>
        <v>131.5</v>
      </c>
      <c r="I156" s="6">
        <f t="shared" si="81"/>
        <v>69.687334393216744</v>
      </c>
    </row>
    <row r="157" spans="1:9" ht="31.5" x14ac:dyDescent="0.25">
      <c r="A157" s="29" t="s">
        <v>147</v>
      </c>
      <c r="B157" s="40" t="s">
        <v>934</v>
      </c>
      <c r="C157" s="40" t="s">
        <v>134</v>
      </c>
      <c r="D157" s="40" t="s">
        <v>156</v>
      </c>
      <c r="E157" s="40" t="s">
        <v>148</v>
      </c>
      <c r="F157" s="9"/>
      <c r="G157" s="10">
        <f t="shared" si="84"/>
        <v>188.7</v>
      </c>
      <c r="H157" s="335">
        <f t="shared" si="84"/>
        <v>131.5</v>
      </c>
      <c r="I157" s="6">
        <f t="shared" si="81"/>
        <v>69.687334393216744</v>
      </c>
    </row>
    <row r="158" spans="1:9" ht="31.5" x14ac:dyDescent="0.25">
      <c r="A158" s="29" t="s">
        <v>149</v>
      </c>
      <c r="B158" s="40" t="s">
        <v>934</v>
      </c>
      <c r="C158" s="40" t="s">
        <v>134</v>
      </c>
      <c r="D158" s="40" t="s">
        <v>156</v>
      </c>
      <c r="E158" s="40" t="s">
        <v>150</v>
      </c>
      <c r="F158" s="9"/>
      <c r="G158" s="10">
        <f>'Пр.3 Рд,пр, ЦС,ВР 20'!F171</f>
        <v>188.7</v>
      </c>
      <c r="H158" s="335">
        <f>'Пр.3 Рд,пр, ЦС,ВР 20'!G171</f>
        <v>131.5</v>
      </c>
      <c r="I158" s="6">
        <f t="shared" si="81"/>
        <v>69.687334393216744</v>
      </c>
    </row>
    <row r="159" spans="1:9" s="217" customFormat="1" ht="47.25" x14ac:dyDescent="0.25">
      <c r="A159" s="45" t="s">
        <v>277</v>
      </c>
      <c r="B159" s="40" t="s">
        <v>934</v>
      </c>
      <c r="C159" s="40" t="s">
        <v>134</v>
      </c>
      <c r="D159" s="40" t="s">
        <v>156</v>
      </c>
      <c r="E159" s="40" t="s">
        <v>150</v>
      </c>
      <c r="F159" s="9" t="s">
        <v>644</v>
      </c>
      <c r="G159" s="10">
        <f>G158</f>
        <v>188.7</v>
      </c>
      <c r="H159" s="335">
        <f t="shared" ref="H159" si="86">H158</f>
        <v>131.5</v>
      </c>
      <c r="I159" s="6">
        <f t="shared" si="81"/>
        <v>69.687334393216744</v>
      </c>
    </row>
    <row r="160" spans="1:9" s="217" customFormat="1" ht="47.25" hidden="1" x14ac:dyDescent="0.25">
      <c r="A160" s="35" t="s">
        <v>936</v>
      </c>
      <c r="B160" s="20" t="s">
        <v>935</v>
      </c>
      <c r="C160" s="40" t="s">
        <v>134</v>
      </c>
      <c r="D160" s="40" t="s">
        <v>156</v>
      </c>
      <c r="E160" s="40"/>
      <c r="F160" s="9"/>
      <c r="G160" s="10">
        <f>G161</f>
        <v>0</v>
      </c>
      <c r="H160" s="335">
        <f t="shared" ref="H160:H161" si="87">H161</f>
        <v>0</v>
      </c>
      <c r="I160" s="6" t="e">
        <f t="shared" si="81"/>
        <v>#DIV/0!</v>
      </c>
    </row>
    <row r="161" spans="1:9" s="217" customFormat="1" ht="31.5" hidden="1" x14ac:dyDescent="0.25">
      <c r="A161" s="25" t="s">
        <v>147</v>
      </c>
      <c r="B161" s="20" t="s">
        <v>935</v>
      </c>
      <c r="C161" s="40" t="s">
        <v>134</v>
      </c>
      <c r="D161" s="40" t="s">
        <v>156</v>
      </c>
      <c r="E161" s="40" t="s">
        <v>148</v>
      </c>
      <c r="F161" s="9"/>
      <c r="G161" s="10">
        <f>G162</f>
        <v>0</v>
      </c>
      <c r="H161" s="335">
        <f t="shared" si="87"/>
        <v>0</v>
      </c>
      <c r="I161" s="6" t="e">
        <f t="shared" si="81"/>
        <v>#DIV/0!</v>
      </c>
    </row>
    <row r="162" spans="1:9" s="217" customFormat="1" ht="31.5" hidden="1" x14ac:dyDescent="0.25">
      <c r="A162" s="25" t="s">
        <v>149</v>
      </c>
      <c r="B162" s="20" t="s">
        <v>935</v>
      </c>
      <c r="C162" s="40" t="s">
        <v>134</v>
      </c>
      <c r="D162" s="40" t="s">
        <v>156</v>
      </c>
      <c r="E162" s="40" t="s">
        <v>150</v>
      </c>
      <c r="F162" s="9"/>
      <c r="G162" s="10">
        <f>'Пр.3 Рд,пр, ЦС,ВР 20'!F174</f>
        <v>0</v>
      </c>
      <c r="H162" s="335">
        <f>'Пр.3 Рд,пр, ЦС,ВР 20'!G174</f>
        <v>0</v>
      </c>
      <c r="I162" s="6" t="e">
        <f t="shared" si="81"/>
        <v>#DIV/0!</v>
      </c>
    </row>
    <row r="163" spans="1:9" ht="47.25" hidden="1" x14ac:dyDescent="0.25">
      <c r="A163" s="45" t="s">
        <v>277</v>
      </c>
      <c r="B163" s="20" t="s">
        <v>935</v>
      </c>
      <c r="C163" s="40" t="s">
        <v>134</v>
      </c>
      <c r="D163" s="40" t="s">
        <v>156</v>
      </c>
      <c r="E163" s="40" t="s">
        <v>150</v>
      </c>
      <c r="F163" s="9" t="s">
        <v>644</v>
      </c>
      <c r="G163" s="10">
        <f>G162</f>
        <v>0</v>
      </c>
      <c r="H163" s="335">
        <f t="shared" ref="H163" si="88">H162</f>
        <v>0</v>
      </c>
      <c r="I163" s="6" t="e">
        <f t="shared" si="81"/>
        <v>#DIV/0!</v>
      </c>
    </row>
    <row r="164" spans="1:9" ht="47.25" x14ac:dyDescent="0.25">
      <c r="A164" s="58" t="s">
        <v>442</v>
      </c>
      <c r="B164" s="7" t="s">
        <v>422</v>
      </c>
      <c r="C164" s="7"/>
      <c r="D164" s="7"/>
      <c r="E164" s="7"/>
      <c r="F164" s="7"/>
      <c r="G164" s="59">
        <f>G165+G264+G317+G392+G400</f>
        <v>342090.08900000009</v>
      </c>
      <c r="H164" s="347">
        <f t="shared" ref="H164" si="89">H165+H264+H317+H392+H400</f>
        <v>163455.36000000002</v>
      </c>
      <c r="I164" s="4">
        <f t="shared" si="81"/>
        <v>47.781378430989847</v>
      </c>
    </row>
    <row r="165" spans="1:9" ht="31.5" x14ac:dyDescent="0.25">
      <c r="A165" s="41" t="s">
        <v>423</v>
      </c>
      <c r="B165" s="7" t="s">
        <v>424</v>
      </c>
      <c r="C165" s="7"/>
      <c r="D165" s="7"/>
      <c r="E165" s="7"/>
      <c r="F165" s="7"/>
      <c r="G165" s="59">
        <f>G166+G195</f>
        <v>313996.30000000005</v>
      </c>
      <c r="H165" s="347">
        <f t="shared" ref="H165" si="90">H166+H195</f>
        <v>150991.79</v>
      </c>
      <c r="I165" s="4">
        <f t="shared" si="81"/>
        <v>48.087123956556169</v>
      </c>
    </row>
    <row r="166" spans="1:9" s="217" customFormat="1" ht="31.5" x14ac:dyDescent="0.25">
      <c r="A166" s="23" t="s">
        <v>1028</v>
      </c>
      <c r="B166" s="24" t="s">
        <v>1006</v>
      </c>
      <c r="C166" s="7"/>
      <c r="D166" s="7"/>
      <c r="E166" s="7"/>
      <c r="F166" s="7"/>
      <c r="G166" s="59">
        <f>G167</f>
        <v>72971</v>
      </c>
      <c r="H166" s="347">
        <f t="shared" ref="H166" si="91">H167</f>
        <v>33309.599999999999</v>
      </c>
      <c r="I166" s="4">
        <f t="shared" si="81"/>
        <v>45.647723068068139</v>
      </c>
    </row>
    <row r="167" spans="1:9" ht="15.75" x14ac:dyDescent="0.25">
      <c r="A167" s="29" t="s">
        <v>279</v>
      </c>
      <c r="B167" s="40" t="s">
        <v>1006</v>
      </c>
      <c r="C167" s="40" t="s">
        <v>280</v>
      </c>
      <c r="D167" s="40"/>
      <c r="E167" s="40"/>
      <c r="F167" s="40"/>
      <c r="G167" s="10">
        <f>G168+G177+G190</f>
        <v>72971</v>
      </c>
      <c r="H167" s="335">
        <f t="shared" ref="H167" si="92">H168+H177+H190</f>
        <v>33309.599999999999</v>
      </c>
      <c r="I167" s="6">
        <f t="shared" si="81"/>
        <v>45.647723068068139</v>
      </c>
    </row>
    <row r="168" spans="1:9" ht="15.75" x14ac:dyDescent="0.25">
      <c r="A168" s="45" t="s">
        <v>420</v>
      </c>
      <c r="B168" s="40" t="s">
        <v>1006</v>
      </c>
      <c r="C168" s="40" t="s">
        <v>280</v>
      </c>
      <c r="D168" s="40" t="s">
        <v>134</v>
      </c>
      <c r="E168" s="40"/>
      <c r="F168" s="40"/>
      <c r="G168" s="10">
        <f>G169+G173</f>
        <v>13017</v>
      </c>
      <c r="H168" s="335">
        <f t="shared" ref="H168" si="93">H169+H173</f>
        <v>7293.3</v>
      </c>
      <c r="I168" s="6">
        <f t="shared" si="81"/>
        <v>56.02903894906661</v>
      </c>
    </row>
    <row r="169" spans="1:9" ht="47.25" x14ac:dyDescent="0.25">
      <c r="A169" s="25" t="s">
        <v>1063</v>
      </c>
      <c r="B169" s="20" t="s">
        <v>1062</v>
      </c>
      <c r="C169" s="40" t="s">
        <v>280</v>
      </c>
      <c r="D169" s="40" t="s">
        <v>134</v>
      </c>
      <c r="E169" s="40"/>
      <c r="F169" s="40"/>
      <c r="G169" s="10">
        <f t="shared" ref="G169:H170" si="94">G170</f>
        <v>8823.6999999999989</v>
      </c>
      <c r="H169" s="335">
        <f t="shared" si="94"/>
        <v>4933.6000000000004</v>
      </c>
      <c r="I169" s="6">
        <f t="shared" si="81"/>
        <v>55.913052347654627</v>
      </c>
    </row>
    <row r="170" spans="1:9" ht="31.5" x14ac:dyDescent="0.25">
      <c r="A170" s="25" t="s">
        <v>288</v>
      </c>
      <c r="B170" s="20" t="s">
        <v>1062</v>
      </c>
      <c r="C170" s="40" t="s">
        <v>280</v>
      </c>
      <c r="D170" s="40" t="s">
        <v>134</v>
      </c>
      <c r="E170" s="40" t="s">
        <v>289</v>
      </c>
      <c r="F170" s="40"/>
      <c r="G170" s="10">
        <f t="shared" si="94"/>
        <v>8823.6999999999989</v>
      </c>
      <c r="H170" s="335">
        <f t="shared" si="94"/>
        <v>4933.6000000000004</v>
      </c>
      <c r="I170" s="6">
        <f t="shared" si="81"/>
        <v>55.913052347654627</v>
      </c>
    </row>
    <row r="171" spans="1:9" ht="15.75" x14ac:dyDescent="0.25">
      <c r="A171" s="25" t="s">
        <v>290</v>
      </c>
      <c r="B171" s="20" t="s">
        <v>1062</v>
      </c>
      <c r="C171" s="40" t="s">
        <v>280</v>
      </c>
      <c r="D171" s="40" t="s">
        <v>134</v>
      </c>
      <c r="E171" s="40" t="s">
        <v>291</v>
      </c>
      <c r="F171" s="40"/>
      <c r="G171" s="6">
        <f>'Пр.3 Рд,пр, ЦС,ВР 20'!F510</f>
        <v>8823.6999999999989</v>
      </c>
      <c r="H171" s="6">
        <f>'Пр.3 Рд,пр, ЦС,ВР 20'!G510</f>
        <v>4933.6000000000004</v>
      </c>
      <c r="I171" s="6">
        <f t="shared" si="81"/>
        <v>55.913052347654627</v>
      </c>
    </row>
    <row r="172" spans="1:9" s="217" customFormat="1" ht="31.5" x14ac:dyDescent="0.25">
      <c r="A172" s="29" t="s">
        <v>419</v>
      </c>
      <c r="B172" s="20" t="s">
        <v>1062</v>
      </c>
      <c r="C172" s="40" t="s">
        <v>280</v>
      </c>
      <c r="D172" s="40" t="s">
        <v>134</v>
      </c>
      <c r="E172" s="40" t="s">
        <v>291</v>
      </c>
      <c r="F172" s="40" t="s">
        <v>653</v>
      </c>
      <c r="G172" s="10">
        <f>G171</f>
        <v>8823.6999999999989</v>
      </c>
      <c r="H172" s="335">
        <f t="shared" ref="H172" si="95">H171</f>
        <v>4933.6000000000004</v>
      </c>
      <c r="I172" s="6">
        <f t="shared" si="81"/>
        <v>55.913052347654627</v>
      </c>
    </row>
    <row r="173" spans="1:9" s="217" customFormat="1" ht="47.25" x14ac:dyDescent="0.25">
      <c r="A173" s="25" t="s">
        <v>1238</v>
      </c>
      <c r="B173" s="20" t="s">
        <v>1064</v>
      </c>
      <c r="C173" s="40" t="s">
        <v>280</v>
      </c>
      <c r="D173" s="40" t="s">
        <v>134</v>
      </c>
      <c r="E173" s="40"/>
      <c r="F173" s="40"/>
      <c r="G173" s="6">
        <f>G174</f>
        <v>4193.3</v>
      </c>
      <c r="H173" s="6">
        <f t="shared" ref="H173:H174" si="96">H174</f>
        <v>2359.6999999999998</v>
      </c>
      <c r="I173" s="6">
        <f t="shared" si="81"/>
        <v>56.273102329907218</v>
      </c>
    </row>
    <row r="174" spans="1:9" s="217" customFormat="1" ht="31.5" x14ac:dyDescent="0.25">
      <c r="A174" s="25" t="s">
        <v>288</v>
      </c>
      <c r="B174" s="20" t="s">
        <v>1064</v>
      </c>
      <c r="C174" s="40" t="s">
        <v>280</v>
      </c>
      <c r="D174" s="40" t="s">
        <v>134</v>
      </c>
      <c r="E174" s="40" t="s">
        <v>289</v>
      </c>
      <c r="F174" s="40"/>
      <c r="G174" s="6">
        <f>G175</f>
        <v>4193.3</v>
      </c>
      <c r="H174" s="6">
        <f t="shared" si="96"/>
        <v>2359.6999999999998</v>
      </c>
      <c r="I174" s="6">
        <f t="shared" si="81"/>
        <v>56.273102329907218</v>
      </c>
    </row>
    <row r="175" spans="1:9" s="217" customFormat="1" ht="15.75" x14ac:dyDescent="0.25">
      <c r="A175" s="25" t="s">
        <v>290</v>
      </c>
      <c r="B175" s="20" t="s">
        <v>1064</v>
      </c>
      <c r="C175" s="40" t="s">
        <v>280</v>
      </c>
      <c r="D175" s="40" t="s">
        <v>134</v>
      </c>
      <c r="E175" s="40" t="s">
        <v>291</v>
      </c>
      <c r="F175" s="40"/>
      <c r="G175" s="6">
        <f>'Пр.3 Рд,пр, ЦС,ВР 20'!F513</f>
        <v>4193.3</v>
      </c>
      <c r="H175" s="6">
        <f>'Пр.3 Рд,пр, ЦС,ВР 20'!G513</f>
        <v>2359.6999999999998</v>
      </c>
      <c r="I175" s="6">
        <f t="shared" si="81"/>
        <v>56.273102329907218</v>
      </c>
    </row>
    <row r="176" spans="1:9" s="217" customFormat="1" ht="31.5" x14ac:dyDescent="0.25">
      <c r="A176" s="29" t="s">
        <v>419</v>
      </c>
      <c r="B176" s="20" t="s">
        <v>1064</v>
      </c>
      <c r="C176" s="40" t="s">
        <v>280</v>
      </c>
      <c r="D176" s="40" t="s">
        <v>134</v>
      </c>
      <c r="E176" s="40" t="s">
        <v>291</v>
      </c>
      <c r="F176" s="40" t="s">
        <v>653</v>
      </c>
      <c r="G176" s="10">
        <f>G175</f>
        <v>4193.3</v>
      </c>
      <c r="H176" s="335">
        <f t="shared" ref="H176" si="97">H175</f>
        <v>2359.6999999999998</v>
      </c>
      <c r="I176" s="6">
        <f t="shared" si="81"/>
        <v>56.273102329907218</v>
      </c>
    </row>
    <row r="177" spans="1:9" s="217" customFormat="1" ht="15.75" x14ac:dyDescent="0.25">
      <c r="A177" s="29" t="s">
        <v>441</v>
      </c>
      <c r="B177" s="40" t="s">
        <v>1006</v>
      </c>
      <c r="C177" s="40" t="s">
        <v>280</v>
      </c>
      <c r="D177" s="40" t="s">
        <v>229</v>
      </c>
      <c r="E177" s="40"/>
      <c r="F177" s="40"/>
      <c r="G177" s="10">
        <f>G178+G182+G186</f>
        <v>27339</v>
      </c>
      <c r="H177" s="335">
        <f t="shared" ref="H177" si="98">H178+H182+H186</f>
        <v>6777.3</v>
      </c>
      <c r="I177" s="6">
        <f t="shared" si="81"/>
        <v>24.789860638648086</v>
      </c>
    </row>
    <row r="178" spans="1:9" s="217" customFormat="1" ht="47.25" x14ac:dyDescent="0.25">
      <c r="A178" s="25" t="s">
        <v>1458</v>
      </c>
      <c r="B178" s="20" t="s">
        <v>1065</v>
      </c>
      <c r="C178" s="40" t="s">
        <v>280</v>
      </c>
      <c r="D178" s="40" t="s">
        <v>229</v>
      </c>
      <c r="E178" s="40"/>
      <c r="F178" s="40"/>
      <c r="G178" s="10">
        <f t="shared" ref="G178:H179" si="99">G179</f>
        <v>9301.4000000000015</v>
      </c>
      <c r="H178" s="335">
        <f t="shared" si="99"/>
        <v>5422.8</v>
      </c>
      <c r="I178" s="6">
        <f t="shared" si="81"/>
        <v>58.300900939643483</v>
      </c>
    </row>
    <row r="179" spans="1:9" s="217" customFormat="1" ht="31.5" x14ac:dyDescent="0.25">
      <c r="A179" s="25" t="s">
        <v>288</v>
      </c>
      <c r="B179" s="20" t="s">
        <v>1065</v>
      </c>
      <c r="C179" s="40" t="s">
        <v>280</v>
      </c>
      <c r="D179" s="40" t="s">
        <v>229</v>
      </c>
      <c r="E179" s="40" t="s">
        <v>289</v>
      </c>
      <c r="F179" s="40"/>
      <c r="G179" s="10">
        <f t="shared" si="99"/>
        <v>9301.4000000000015</v>
      </c>
      <c r="H179" s="335">
        <f t="shared" si="99"/>
        <v>5422.8</v>
      </c>
      <c r="I179" s="6">
        <f t="shared" si="81"/>
        <v>58.300900939643483</v>
      </c>
    </row>
    <row r="180" spans="1:9" s="217" customFormat="1" ht="15.75" x14ac:dyDescent="0.25">
      <c r="A180" s="25" t="s">
        <v>290</v>
      </c>
      <c r="B180" s="20" t="s">
        <v>1065</v>
      </c>
      <c r="C180" s="40" t="s">
        <v>280</v>
      </c>
      <c r="D180" s="40" t="s">
        <v>229</v>
      </c>
      <c r="E180" s="40" t="s">
        <v>291</v>
      </c>
      <c r="F180" s="40"/>
      <c r="G180" s="6">
        <f>'Пр.3 Рд,пр, ЦС,ВР 20'!F581</f>
        <v>9301.4000000000015</v>
      </c>
      <c r="H180" s="6">
        <f>'Пр.3 Рд,пр, ЦС,ВР 20'!G581</f>
        <v>5422.8</v>
      </c>
      <c r="I180" s="6">
        <f t="shared" si="81"/>
        <v>58.300900939643483</v>
      </c>
    </row>
    <row r="181" spans="1:9" s="217" customFormat="1" ht="31.5" x14ac:dyDescent="0.25">
      <c r="A181" s="29" t="s">
        <v>419</v>
      </c>
      <c r="B181" s="20" t="s">
        <v>1065</v>
      </c>
      <c r="C181" s="40" t="s">
        <v>280</v>
      </c>
      <c r="D181" s="40" t="s">
        <v>229</v>
      </c>
      <c r="E181" s="40" t="s">
        <v>291</v>
      </c>
      <c r="F181" s="40" t="s">
        <v>653</v>
      </c>
      <c r="G181" s="10">
        <f>G180</f>
        <v>9301.4000000000015</v>
      </c>
      <c r="H181" s="335">
        <f t="shared" ref="H181" si="100">H180</f>
        <v>5422.8</v>
      </c>
      <c r="I181" s="6">
        <f t="shared" si="81"/>
        <v>58.300900939643483</v>
      </c>
    </row>
    <row r="182" spans="1:9" s="217" customFormat="1" ht="47.25" x14ac:dyDescent="0.25">
      <c r="A182" s="25" t="s">
        <v>1069</v>
      </c>
      <c r="B182" s="20" t="s">
        <v>1066</v>
      </c>
      <c r="C182" s="40" t="s">
        <v>280</v>
      </c>
      <c r="D182" s="40" t="s">
        <v>229</v>
      </c>
      <c r="E182" s="40"/>
      <c r="F182" s="40"/>
      <c r="G182" s="6">
        <f>G183</f>
        <v>11361.7</v>
      </c>
      <c r="H182" s="6">
        <f t="shared" ref="H182:H183" si="101">H183</f>
        <v>30.7</v>
      </c>
      <c r="I182" s="6">
        <f t="shared" si="81"/>
        <v>0.27020604310974583</v>
      </c>
    </row>
    <row r="183" spans="1:9" s="217" customFormat="1" ht="31.5" x14ac:dyDescent="0.25">
      <c r="A183" s="25" t="s">
        <v>288</v>
      </c>
      <c r="B183" s="20" t="s">
        <v>1066</v>
      </c>
      <c r="C183" s="40" t="s">
        <v>280</v>
      </c>
      <c r="D183" s="40" t="s">
        <v>229</v>
      </c>
      <c r="E183" s="40" t="s">
        <v>289</v>
      </c>
      <c r="F183" s="40"/>
      <c r="G183" s="6">
        <f>G184</f>
        <v>11361.7</v>
      </c>
      <c r="H183" s="6">
        <f t="shared" si="101"/>
        <v>30.7</v>
      </c>
      <c r="I183" s="6">
        <f t="shared" si="81"/>
        <v>0.27020604310974583</v>
      </c>
    </row>
    <row r="184" spans="1:9" s="217" customFormat="1" ht="15.75" x14ac:dyDescent="0.25">
      <c r="A184" s="25" t="s">
        <v>290</v>
      </c>
      <c r="B184" s="20" t="s">
        <v>1066</v>
      </c>
      <c r="C184" s="40" t="s">
        <v>280</v>
      </c>
      <c r="D184" s="40" t="s">
        <v>229</v>
      </c>
      <c r="E184" s="40" t="s">
        <v>291</v>
      </c>
      <c r="F184" s="40"/>
      <c r="G184" s="6">
        <f>'Пр.3 Рд,пр, ЦС,ВР 20'!F584</f>
        <v>11361.7</v>
      </c>
      <c r="H184" s="6">
        <f>'Пр.3 Рд,пр, ЦС,ВР 20'!G584</f>
        <v>30.7</v>
      </c>
      <c r="I184" s="6">
        <f t="shared" si="81"/>
        <v>0.27020604310974583</v>
      </c>
    </row>
    <row r="185" spans="1:9" s="217" customFormat="1" ht="31.5" x14ac:dyDescent="0.25">
      <c r="A185" s="29" t="s">
        <v>419</v>
      </c>
      <c r="B185" s="20" t="s">
        <v>1066</v>
      </c>
      <c r="C185" s="40" t="s">
        <v>280</v>
      </c>
      <c r="D185" s="40" t="s">
        <v>229</v>
      </c>
      <c r="E185" s="40" t="s">
        <v>291</v>
      </c>
      <c r="F185" s="40" t="s">
        <v>653</v>
      </c>
      <c r="G185" s="10">
        <f>G184</f>
        <v>11361.7</v>
      </c>
      <c r="H185" s="335">
        <f t="shared" ref="H185" si="102">H184</f>
        <v>30.7</v>
      </c>
      <c r="I185" s="6">
        <f t="shared" si="81"/>
        <v>0.27020604310974583</v>
      </c>
    </row>
    <row r="186" spans="1:9" s="217" customFormat="1" ht="47.25" x14ac:dyDescent="0.25">
      <c r="A186" s="25" t="s">
        <v>1070</v>
      </c>
      <c r="B186" s="20" t="s">
        <v>1067</v>
      </c>
      <c r="C186" s="40" t="s">
        <v>280</v>
      </c>
      <c r="D186" s="40" t="s">
        <v>229</v>
      </c>
      <c r="E186" s="40"/>
      <c r="F186" s="40"/>
      <c r="G186" s="6">
        <f>G187</f>
        <v>6675.9</v>
      </c>
      <c r="H186" s="6">
        <f t="shared" ref="H186:H187" si="103">H187</f>
        <v>1323.8</v>
      </c>
      <c r="I186" s="6">
        <f t="shared" si="81"/>
        <v>19.829536092511869</v>
      </c>
    </row>
    <row r="187" spans="1:9" s="217" customFormat="1" ht="31.5" x14ac:dyDescent="0.25">
      <c r="A187" s="25" t="s">
        <v>288</v>
      </c>
      <c r="B187" s="20" t="s">
        <v>1067</v>
      </c>
      <c r="C187" s="40" t="s">
        <v>280</v>
      </c>
      <c r="D187" s="40" t="s">
        <v>229</v>
      </c>
      <c r="E187" s="40" t="s">
        <v>289</v>
      </c>
      <c r="F187" s="40"/>
      <c r="G187" s="6">
        <f>G188</f>
        <v>6675.9</v>
      </c>
      <c r="H187" s="6">
        <f t="shared" si="103"/>
        <v>1323.8</v>
      </c>
      <c r="I187" s="6">
        <f t="shared" si="81"/>
        <v>19.829536092511869</v>
      </c>
    </row>
    <row r="188" spans="1:9" s="217" customFormat="1" ht="15.75" x14ac:dyDescent="0.25">
      <c r="A188" s="25" t="s">
        <v>290</v>
      </c>
      <c r="B188" s="20" t="s">
        <v>1067</v>
      </c>
      <c r="C188" s="40" t="s">
        <v>280</v>
      </c>
      <c r="D188" s="40" t="s">
        <v>229</v>
      </c>
      <c r="E188" s="40" t="s">
        <v>291</v>
      </c>
      <c r="F188" s="40"/>
      <c r="G188" s="6">
        <f>'Пр.3 Рд,пр, ЦС,ВР 20'!F587</f>
        <v>6675.9</v>
      </c>
      <c r="H188" s="6">
        <f>'Пр.3 Рд,пр, ЦС,ВР 20'!G587</f>
        <v>1323.8</v>
      </c>
      <c r="I188" s="6">
        <f t="shared" si="81"/>
        <v>19.829536092511869</v>
      </c>
    </row>
    <row r="189" spans="1:9" s="217" customFormat="1" ht="31.5" x14ac:dyDescent="0.25">
      <c r="A189" s="29" t="s">
        <v>419</v>
      </c>
      <c r="B189" s="20" t="s">
        <v>1067</v>
      </c>
      <c r="C189" s="40" t="s">
        <v>280</v>
      </c>
      <c r="D189" s="40" t="s">
        <v>229</v>
      </c>
      <c r="E189" s="40" t="s">
        <v>291</v>
      </c>
      <c r="F189" s="40" t="s">
        <v>653</v>
      </c>
      <c r="G189" s="10">
        <f>G188</f>
        <v>6675.9</v>
      </c>
      <c r="H189" s="335">
        <f t="shared" ref="H189" si="104">H188</f>
        <v>1323.8</v>
      </c>
      <c r="I189" s="6">
        <f t="shared" si="81"/>
        <v>19.829536092511869</v>
      </c>
    </row>
    <row r="190" spans="1:9" s="217" customFormat="1" ht="15.75" x14ac:dyDescent="0.25">
      <c r="A190" s="29" t="s">
        <v>281</v>
      </c>
      <c r="B190" s="40" t="s">
        <v>1006</v>
      </c>
      <c r="C190" s="40" t="s">
        <v>280</v>
      </c>
      <c r="D190" s="40" t="s">
        <v>231</v>
      </c>
      <c r="E190" s="40"/>
      <c r="F190" s="40"/>
      <c r="G190" s="6">
        <f t="shared" ref="G190:H190" si="105">G191</f>
        <v>32614.999999999996</v>
      </c>
      <c r="H190" s="6">
        <f t="shared" si="105"/>
        <v>19239</v>
      </c>
      <c r="I190" s="6">
        <f t="shared" si="81"/>
        <v>58.988195615514336</v>
      </c>
    </row>
    <row r="191" spans="1:9" s="217" customFormat="1" ht="47.25" x14ac:dyDescent="0.25">
      <c r="A191" s="29" t="s">
        <v>286</v>
      </c>
      <c r="B191" s="20" t="s">
        <v>1051</v>
      </c>
      <c r="C191" s="40" t="s">
        <v>280</v>
      </c>
      <c r="D191" s="40" t="s">
        <v>231</v>
      </c>
      <c r="E191" s="7"/>
      <c r="F191" s="7"/>
      <c r="G191" s="10">
        <f t="shared" ref="G191:H192" si="106">G192</f>
        <v>32614.999999999996</v>
      </c>
      <c r="H191" s="335">
        <f t="shared" si="106"/>
        <v>19239</v>
      </c>
      <c r="I191" s="6">
        <f t="shared" si="81"/>
        <v>58.988195615514336</v>
      </c>
    </row>
    <row r="192" spans="1:9" s="217" customFormat="1" ht="31.5" x14ac:dyDescent="0.25">
      <c r="A192" s="29" t="s">
        <v>288</v>
      </c>
      <c r="B192" s="20" t="s">
        <v>1051</v>
      </c>
      <c r="C192" s="40" t="s">
        <v>280</v>
      </c>
      <c r="D192" s="40" t="s">
        <v>231</v>
      </c>
      <c r="E192" s="40" t="s">
        <v>289</v>
      </c>
      <c r="F192" s="40"/>
      <c r="G192" s="10">
        <f t="shared" si="106"/>
        <v>32614.999999999996</v>
      </c>
      <c r="H192" s="335">
        <f t="shared" si="106"/>
        <v>19239</v>
      </c>
      <c r="I192" s="6">
        <f t="shared" si="81"/>
        <v>58.988195615514336</v>
      </c>
    </row>
    <row r="193" spans="1:9" s="217" customFormat="1" ht="15.75" x14ac:dyDescent="0.25">
      <c r="A193" s="29" t="s">
        <v>290</v>
      </c>
      <c r="B193" s="20" t="s">
        <v>1051</v>
      </c>
      <c r="C193" s="40" t="s">
        <v>280</v>
      </c>
      <c r="D193" s="40" t="s">
        <v>231</v>
      </c>
      <c r="E193" s="40" t="s">
        <v>291</v>
      </c>
      <c r="F193" s="40"/>
      <c r="G193" s="6">
        <f>'Пр.3 Рд,пр, ЦС,ВР 20'!F675</f>
        <v>32614.999999999996</v>
      </c>
      <c r="H193" s="6">
        <f>'Пр.3 Рд,пр, ЦС,ВР 20'!G675</f>
        <v>19239</v>
      </c>
      <c r="I193" s="6">
        <f t="shared" si="81"/>
        <v>58.988195615514336</v>
      </c>
    </row>
    <row r="194" spans="1:9" s="217" customFormat="1" ht="31.5" x14ac:dyDescent="0.25">
      <c r="A194" s="29" t="s">
        <v>419</v>
      </c>
      <c r="B194" s="20" t="s">
        <v>1051</v>
      </c>
      <c r="C194" s="40" t="s">
        <v>280</v>
      </c>
      <c r="D194" s="40" t="s">
        <v>231</v>
      </c>
      <c r="E194" s="40" t="s">
        <v>291</v>
      </c>
      <c r="F194" s="40" t="s">
        <v>653</v>
      </c>
      <c r="G194" s="10">
        <f>G193</f>
        <v>32614.999999999996</v>
      </c>
      <c r="H194" s="335">
        <f t="shared" ref="H194" si="107">H193</f>
        <v>19239</v>
      </c>
      <c r="I194" s="6">
        <f t="shared" si="81"/>
        <v>58.988195615514336</v>
      </c>
    </row>
    <row r="195" spans="1:9" s="217" customFormat="1" ht="47.25" x14ac:dyDescent="0.25">
      <c r="A195" s="23" t="s">
        <v>971</v>
      </c>
      <c r="B195" s="24" t="s">
        <v>1021</v>
      </c>
      <c r="C195" s="7"/>
      <c r="D195" s="7"/>
      <c r="E195" s="7"/>
      <c r="F195" s="7"/>
      <c r="G195" s="4">
        <f>G196</f>
        <v>241025.30000000002</v>
      </c>
      <c r="H195" s="4">
        <f t="shared" ref="H195" si="108">H196</f>
        <v>117682.19</v>
      </c>
      <c r="I195" s="4">
        <f t="shared" si="81"/>
        <v>48.825658551197733</v>
      </c>
    </row>
    <row r="196" spans="1:9" s="217" customFormat="1" ht="15.75" x14ac:dyDescent="0.25">
      <c r="A196" s="29" t="s">
        <v>279</v>
      </c>
      <c r="B196" s="40" t="s">
        <v>1021</v>
      </c>
      <c r="C196" s="40" t="s">
        <v>280</v>
      </c>
      <c r="D196" s="40"/>
      <c r="E196" s="40"/>
      <c r="F196" s="40"/>
      <c r="G196" s="10">
        <f>G197+G218+G247</f>
        <v>241025.30000000002</v>
      </c>
      <c r="H196" s="335">
        <f t="shared" ref="H196" si="109">H197+H218+H247</f>
        <v>117682.19</v>
      </c>
      <c r="I196" s="6">
        <f t="shared" si="81"/>
        <v>48.825658551197733</v>
      </c>
    </row>
    <row r="197" spans="1:9" s="217" customFormat="1" ht="15.75" x14ac:dyDescent="0.25">
      <c r="A197" s="45" t="s">
        <v>420</v>
      </c>
      <c r="B197" s="40" t="s">
        <v>1021</v>
      </c>
      <c r="C197" s="40" t="s">
        <v>280</v>
      </c>
      <c r="D197" s="40" t="s">
        <v>134</v>
      </c>
      <c r="E197" s="40"/>
      <c r="F197" s="40"/>
      <c r="G197" s="10">
        <f>G202+G206+G210+G214+G198</f>
        <v>85840.5</v>
      </c>
      <c r="H197" s="335">
        <f t="shared" ref="H197" si="110">H202+H206+H210+H214+H198</f>
        <v>40104.460000000006</v>
      </c>
      <c r="I197" s="6">
        <f t="shared" si="81"/>
        <v>46.719741846797262</v>
      </c>
    </row>
    <row r="198" spans="1:9" s="331" customFormat="1" ht="94.5" x14ac:dyDescent="0.25">
      <c r="A198" s="31" t="s">
        <v>309</v>
      </c>
      <c r="B198" s="338" t="s">
        <v>1519</v>
      </c>
      <c r="C198" s="346" t="s">
        <v>280</v>
      </c>
      <c r="D198" s="346" t="s">
        <v>134</v>
      </c>
      <c r="E198" s="346"/>
      <c r="F198" s="346"/>
      <c r="G198" s="335">
        <f>G199</f>
        <v>1966.1</v>
      </c>
      <c r="H198" s="335">
        <f t="shared" ref="H198:H199" si="111">H199</f>
        <v>937.4</v>
      </c>
      <c r="I198" s="6">
        <f t="shared" si="81"/>
        <v>47.678144550124614</v>
      </c>
    </row>
    <row r="199" spans="1:9" s="331" customFormat="1" ht="31.5" x14ac:dyDescent="0.25">
      <c r="A199" s="342" t="s">
        <v>288</v>
      </c>
      <c r="B199" s="338" t="s">
        <v>1519</v>
      </c>
      <c r="C199" s="346" t="s">
        <v>280</v>
      </c>
      <c r="D199" s="346" t="s">
        <v>134</v>
      </c>
      <c r="E199" s="346" t="s">
        <v>289</v>
      </c>
      <c r="F199" s="346"/>
      <c r="G199" s="335">
        <f>G200</f>
        <v>1966.1</v>
      </c>
      <c r="H199" s="335">
        <f t="shared" si="111"/>
        <v>937.4</v>
      </c>
      <c r="I199" s="6">
        <f t="shared" si="81"/>
        <v>47.678144550124614</v>
      </c>
    </row>
    <row r="200" spans="1:9" s="331" customFormat="1" ht="15.75" x14ac:dyDescent="0.25">
      <c r="A200" s="342" t="s">
        <v>290</v>
      </c>
      <c r="B200" s="338" t="s">
        <v>1519</v>
      </c>
      <c r="C200" s="346" t="s">
        <v>280</v>
      </c>
      <c r="D200" s="346" t="s">
        <v>134</v>
      </c>
      <c r="E200" s="346" t="s">
        <v>291</v>
      </c>
      <c r="F200" s="346"/>
      <c r="G200" s="335">
        <f>'Пр.4 ведом.20'!G566</f>
        <v>1966.1</v>
      </c>
      <c r="H200" s="335">
        <f>'Пр.4 ведом.20'!H566</f>
        <v>937.4</v>
      </c>
      <c r="I200" s="6">
        <f t="shared" si="81"/>
        <v>47.678144550124614</v>
      </c>
    </row>
    <row r="201" spans="1:9" s="331" customFormat="1" ht="31.5" x14ac:dyDescent="0.25">
      <c r="A201" s="345" t="s">
        <v>419</v>
      </c>
      <c r="B201" s="346"/>
      <c r="C201" s="346" t="s">
        <v>280</v>
      </c>
      <c r="D201" s="346" t="s">
        <v>134</v>
      </c>
      <c r="E201" s="346" t="s">
        <v>291</v>
      </c>
      <c r="F201" s="346" t="s">
        <v>653</v>
      </c>
      <c r="G201" s="335">
        <f>G198</f>
        <v>1966.1</v>
      </c>
      <c r="H201" s="335">
        <f t="shared" ref="H201" si="112">H198</f>
        <v>937.4</v>
      </c>
      <c r="I201" s="6">
        <f t="shared" si="81"/>
        <v>47.678144550124614</v>
      </c>
    </row>
    <row r="202" spans="1:9" s="217" customFormat="1" ht="63" x14ac:dyDescent="0.25">
      <c r="A202" s="31" t="s">
        <v>305</v>
      </c>
      <c r="B202" s="20" t="s">
        <v>1020</v>
      </c>
      <c r="C202" s="40" t="s">
        <v>280</v>
      </c>
      <c r="D202" s="40" t="s">
        <v>134</v>
      </c>
      <c r="E202" s="40"/>
      <c r="F202" s="40"/>
      <c r="G202" s="6">
        <f>G203</f>
        <v>559.70000000000005</v>
      </c>
      <c r="H202" s="6">
        <f t="shared" ref="H202:H203" si="113">H203</f>
        <v>236.9</v>
      </c>
      <c r="I202" s="6">
        <f t="shared" si="81"/>
        <v>42.326246203323208</v>
      </c>
    </row>
    <row r="203" spans="1:9" s="217" customFormat="1" ht="31.5" x14ac:dyDescent="0.25">
      <c r="A203" s="25" t="s">
        <v>288</v>
      </c>
      <c r="B203" s="20" t="s">
        <v>1020</v>
      </c>
      <c r="C203" s="40" t="s">
        <v>280</v>
      </c>
      <c r="D203" s="40" t="s">
        <v>134</v>
      </c>
      <c r="E203" s="40" t="s">
        <v>289</v>
      </c>
      <c r="F203" s="40"/>
      <c r="G203" s="6">
        <f>G204</f>
        <v>559.70000000000005</v>
      </c>
      <c r="H203" s="6">
        <f t="shared" si="113"/>
        <v>236.9</v>
      </c>
      <c r="I203" s="6">
        <f t="shared" si="81"/>
        <v>42.326246203323208</v>
      </c>
    </row>
    <row r="204" spans="1:9" s="217" customFormat="1" ht="15.75" x14ac:dyDescent="0.25">
      <c r="A204" s="25" t="s">
        <v>290</v>
      </c>
      <c r="B204" s="20" t="s">
        <v>1020</v>
      </c>
      <c r="C204" s="40" t="s">
        <v>280</v>
      </c>
      <c r="D204" s="40" t="s">
        <v>134</v>
      </c>
      <c r="E204" s="40" t="s">
        <v>291</v>
      </c>
      <c r="F204" s="40"/>
      <c r="G204" s="6">
        <f>'Пр.3 Рд,пр, ЦС,ВР 20'!F520</f>
        <v>559.70000000000005</v>
      </c>
      <c r="H204" s="6">
        <f>'Пр.3 Рд,пр, ЦС,ВР 20'!G520</f>
        <v>236.9</v>
      </c>
      <c r="I204" s="6">
        <f t="shared" si="81"/>
        <v>42.326246203323208</v>
      </c>
    </row>
    <row r="205" spans="1:9" s="217" customFormat="1" ht="31.5" x14ac:dyDescent="0.25">
      <c r="A205" s="29" t="s">
        <v>419</v>
      </c>
      <c r="B205" s="20" t="s">
        <v>1020</v>
      </c>
      <c r="C205" s="40" t="s">
        <v>280</v>
      </c>
      <c r="D205" s="40" t="s">
        <v>134</v>
      </c>
      <c r="E205" s="40" t="s">
        <v>291</v>
      </c>
      <c r="F205" s="40" t="s">
        <v>653</v>
      </c>
      <c r="G205" s="10">
        <f>G204</f>
        <v>559.70000000000005</v>
      </c>
      <c r="H205" s="335">
        <f t="shared" ref="H205" si="114">H204</f>
        <v>236.9</v>
      </c>
      <c r="I205" s="6">
        <f t="shared" si="81"/>
        <v>42.326246203323208</v>
      </c>
    </row>
    <row r="206" spans="1:9" s="217" customFormat="1" ht="63" x14ac:dyDescent="0.25">
      <c r="A206" s="31" t="s">
        <v>307</v>
      </c>
      <c r="B206" s="20" t="s">
        <v>1023</v>
      </c>
      <c r="C206" s="40" t="s">
        <v>280</v>
      </c>
      <c r="D206" s="40" t="s">
        <v>134</v>
      </c>
      <c r="E206" s="40"/>
      <c r="F206" s="40"/>
      <c r="G206" s="6">
        <f>G207</f>
        <v>1629.3</v>
      </c>
      <c r="H206" s="6">
        <f t="shared" ref="H206:H207" si="115">H207</f>
        <v>750.4</v>
      </c>
      <c r="I206" s="6">
        <f t="shared" si="81"/>
        <v>46.056588719081816</v>
      </c>
    </row>
    <row r="207" spans="1:9" s="217" customFormat="1" ht="31.5" x14ac:dyDescent="0.25">
      <c r="A207" s="25" t="s">
        <v>288</v>
      </c>
      <c r="B207" s="20" t="s">
        <v>1023</v>
      </c>
      <c r="C207" s="40" t="s">
        <v>280</v>
      </c>
      <c r="D207" s="40" t="s">
        <v>134</v>
      </c>
      <c r="E207" s="40" t="s">
        <v>289</v>
      </c>
      <c r="F207" s="40"/>
      <c r="G207" s="6">
        <f>G208</f>
        <v>1629.3</v>
      </c>
      <c r="H207" s="6">
        <f t="shared" si="115"/>
        <v>750.4</v>
      </c>
      <c r="I207" s="6">
        <f t="shared" si="81"/>
        <v>46.056588719081816</v>
      </c>
    </row>
    <row r="208" spans="1:9" s="217" customFormat="1" ht="15.75" x14ac:dyDescent="0.25">
      <c r="A208" s="25" t="s">
        <v>290</v>
      </c>
      <c r="B208" s="20" t="s">
        <v>1023</v>
      </c>
      <c r="C208" s="40" t="s">
        <v>280</v>
      </c>
      <c r="D208" s="40" t="s">
        <v>134</v>
      </c>
      <c r="E208" s="40" t="s">
        <v>291</v>
      </c>
      <c r="F208" s="40"/>
      <c r="G208" s="6">
        <f>'Пр.3 Рд,пр, ЦС,ВР 20'!F523</f>
        <v>1629.3</v>
      </c>
      <c r="H208" s="6">
        <f>'Пр.3 Рд,пр, ЦС,ВР 20'!G523</f>
        <v>750.4</v>
      </c>
      <c r="I208" s="6">
        <f t="shared" si="81"/>
        <v>46.056588719081816</v>
      </c>
    </row>
    <row r="209" spans="1:9" s="217" customFormat="1" ht="31.5" x14ac:dyDescent="0.25">
      <c r="A209" s="29" t="s">
        <v>419</v>
      </c>
      <c r="B209" s="20" t="s">
        <v>1023</v>
      </c>
      <c r="C209" s="40" t="s">
        <v>280</v>
      </c>
      <c r="D209" s="40" t="s">
        <v>134</v>
      </c>
      <c r="E209" s="40" t="s">
        <v>291</v>
      </c>
      <c r="F209" s="40" t="s">
        <v>653</v>
      </c>
      <c r="G209" s="10">
        <f>G208</f>
        <v>1629.3</v>
      </c>
      <c r="H209" s="335">
        <f t="shared" ref="H209" si="116">H208</f>
        <v>750.4</v>
      </c>
      <c r="I209" s="6">
        <f t="shared" si="81"/>
        <v>46.056588719081816</v>
      </c>
    </row>
    <row r="210" spans="1:9" s="217" customFormat="1" ht="94.5" x14ac:dyDescent="0.25">
      <c r="A210" s="31" t="s">
        <v>1456</v>
      </c>
      <c r="B210" s="20" t="s">
        <v>1022</v>
      </c>
      <c r="C210" s="40" t="s">
        <v>280</v>
      </c>
      <c r="D210" s="40" t="s">
        <v>134</v>
      </c>
      <c r="E210" s="40"/>
      <c r="F210" s="40"/>
      <c r="G210" s="6">
        <f>G211</f>
        <v>80735.399999999994</v>
      </c>
      <c r="H210" s="6">
        <f t="shared" ref="H210:H211" si="117">H211</f>
        <v>37229.760000000002</v>
      </c>
      <c r="I210" s="6">
        <f t="shared" si="81"/>
        <v>46.113303457962687</v>
      </c>
    </row>
    <row r="211" spans="1:9" s="217" customFormat="1" ht="31.5" x14ac:dyDescent="0.25">
      <c r="A211" s="25" t="s">
        <v>288</v>
      </c>
      <c r="B211" s="20" t="s">
        <v>1022</v>
      </c>
      <c r="C211" s="40" t="s">
        <v>280</v>
      </c>
      <c r="D211" s="40" t="s">
        <v>134</v>
      </c>
      <c r="E211" s="40" t="s">
        <v>289</v>
      </c>
      <c r="F211" s="40"/>
      <c r="G211" s="6">
        <f>G212</f>
        <v>80735.399999999994</v>
      </c>
      <c r="H211" s="6">
        <f t="shared" si="117"/>
        <v>37229.760000000002</v>
      </c>
      <c r="I211" s="6">
        <f t="shared" ref="I211:I274" si="118">H211/G211*100</f>
        <v>46.113303457962687</v>
      </c>
    </row>
    <row r="212" spans="1:9" s="217" customFormat="1" ht="15.75" x14ac:dyDescent="0.25">
      <c r="A212" s="25" t="s">
        <v>290</v>
      </c>
      <c r="B212" s="20" t="s">
        <v>1022</v>
      </c>
      <c r="C212" s="40" t="s">
        <v>280</v>
      </c>
      <c r="D212" s="40" t="s">
        <v>134</v>
      </c>
      <c r="E212" s="40" t="s">
        <v>291</v>
      </c>
      <c r="F212" s="40"/>
      <c r="G212" s="6">
        <f>'Пр.3 Рд,пр, ЦС,ВР 20'!F526</f>
        <v>80735.399999999994</v>
      </c>
      <c r="H212" s="6">
        <f>'Пр.3 Рд,пр, ЦС,ВР 20'!G526</f>
        <v>37229.760000000002</v>
      </c>
      <c r="I212" s="6">
        <f t="shared" si="118"/>
        <v>46.113303457962687</v>
      </c>
    </row>
    <row r="213" spans="1:9" s="217" customFormat="1" ht="31.5" x14ac:dyDescent="0.25">
      <c r="A213" s="29" t="s">
        <v>419</v>
      </c>
      <c r="B213" s="20" t="s">
        <v>1022</v>
      </c>
      <c r="C213" s="40" t="s">
        <v>280</v>
      </c>
      <c r="D213" s="40" t="s">
        <v>134</v>
      </c>
      <c r="E213" s="40" t="s">
        <v>291</v>
      </c>
      <c r="F213" s="40" t="s">
        <v>653</v>
      </c>
      <c r="G213" s="10">
        <f>G212</f>
        <v>80735.399999999994</v>
      </c>
      <c r="H213" s="335">
        <f t="shared" ref="H213" si="119">H212</f>
        <v>37229.760000000002</v>
      </c>
      <c r="I213" s="6">
        <f t="shared" si="118"/>
        <v>46.113303457962687</v>
      </c>
    </row>
    <row r="214" spans="1:9" s="217" customFormat="1" ht="94.5" x14ac:dyDescent="0.25">
      <c r="A214" s="31" t="s">
        <v>309</v>
      </c>
      <c r="B214" s="20" t="s">
        <v>1024</v>
      </c>
      <c r="C214" s="40" t="s">
        <v>280</v>
      </c>
      <c r="D214" s="40" t="s">
        <v>134</v>
      </c>
      <c r="E214" s="40"/>
      <c r="F214" s="40"/>
      <c r="G214" s="6">
        <f>G215</f>
        <v>950.00000000000045</v>
      </c>
      <c r="H214" s="6">
        <f t="shared" ref="H214:H215" si="120">H215</f>
        <v>950</v>
      </c>
      <c r="I214" s="6">
        <f t="shared" si="118"/>
        <v>99.999999999999957</v>
      </c>
    </row>
    <row r="215" spans="1:9" s="217" customFormat="1" ht="31.5" x14ac:dyDescent="0.25">
      <c r="A215" s="25" t="s">
        <v>288</v>
      </c>
      <c r="B215" s="20" t="s">
        <v>1024</v>
      </c>
      <c r="C215" s="40" t="s">
        <v>280</v>
      </c>
      <c r="D215" s="40" t="s">
        <v>134</v>
      </c>
      <c r="E215" s="40" t="s">
        <v>289</v>
      </c>
      <c r="F215" s="40"/>
      <c r="G215" s="6">
        <f>G216</f>
        <v>950.00000000000045</v>
      </c>
      <c r="H215" s="6">
        <f t="shared" si="120"/>
        <v>950</v>
      </c>
      <c r="I215" s="6">
        <f t="shared" si="118"/>
        <v>99.999999999999957</v>
      </c>
    </row>
    <row r="216" spans="1:9" s="217" customFormat="1" ht="15.75" x14ac:dyDescent="0.25">
      <c r="A216" s="25" t="s">
        <v>290</v>
      </c>
      <c r="B216" s="20" t="s">
        <v>1024</v>
      </c>
      <c r="C216" s="40" t="s">
        <v>280</v>
      </c>
      <c r="D216" s="40" t="s">
        <v>134</v>
      </c>
      <c r="E216" s="40" t="s">
        <v>291</v>
      </c>
      <c r="F216" s="40"/>
      <c r="G216" s="6">
        <f>'Пр.3 Рд,пр, ЦС,ВР 20'!F529</f>
        <v>950.00000000000045</v>
      </c>
      <c r="H216" s="6">
        <f>'Пр.3 Рд,пр, ЦС,ВР 20'!G529</f>
        <v>950</v>
      </c>
      <c r="I216" s="6">
        <f t="shared" si="118"/>
        <v>99.999999999999957</v>
      </c>
    </row>
    <row r="217" spans="1:9" s="217" customFormat="1" ht="31.5" x14ac:dyDescent="0.25">
      <c r="A217" s="29" t="s">
        <v>419</v>
      </c>
      <c r="B217" s="20" t="s">
        <v>1024</v>
      </c>
      <c r="C217" s="40" t="s">
        <v>280</v>
      </c>
      <c r="D217" s="40" t="s">
        <v>134</v>
      </c>
      <c r="E217" s="40" t="s">
        <v>291</v>
      </c>
      <c r="F217" s="40" t="s">
        <v>653</v>
      </c>
      <c r="G217" s="10">
        <f>G216</f>
        <v>950.00000000000045</v>
      </c>
      <c r="H217" s="335">
        <f t="shared" ref="H217" si="121">H216</f>
        <v>950</v>
      </c>
      <c r="I217" s="6">
        <f t="shared" si="118"/>
        <v>99.999999999999957</v>
      </c>
    </row>
    <row r="218" spans="1:9" ht="15.75" x14ac:dyDescent="0.25">
      <c r="A218" s="29" t="s">
        <v>441</v>
      </c>
      <c r="B218" s="40" t="s">
        <v>1021</v>
      </c>
      <c r="C218" s="40" t="s">
        <v>280</v>
      </c>
      <c r="D218" s="40" t="s">
        <v>229</v>
      </c>
      <c r="E218" s="40"/>
      <c r="F218" s="40"/>
      <c r="G218" s="10">
        <f>G227+G231+G235+G239+G243+G223+G219</f>
        <v>153562.6</v>
      </c>
      <c r="H218" s="335">
        <f t="shared" ref="H218" si="122">H227+H231+H235+H239+H243+H223+H219</f>
        <v>76355.360000000001</v>
      </c>
      <c r="I218" s="6">
        <f t="shared" si="118"/>
        <v>49.722627775252562</v>
      </c>
    </row>
    <row r="219" spans="1:9" s="331" customFormat="1" ht="63" x14ac:dyDescent="0.25">
      <c r="A219" s="342" t="s">
        <v>1527</v>
      </c>
      <c r="B219" s="338" t="s">
        <v>1528</v>
      </c>
      <c r="C219" s="346" t="s">
        <v>280</v>
      </c>
      <c r="D219" s="346" t="s">
        <v>229</v>
      </c>
      <c r="E219" s="346"/>
      <c r="F219" s="346"/>
      <c r="G219" s="335">
        <f>G220</f>
        <v>1125.9000000000001</v>
      </c>
      <c r="H219" s="335">
        <f t="shared" ref="H219:H220" si="123">H220</f>
        <v>0</v>
      </c>
      <c r="I219" s="6">
        <f t="shared" si="118"/>
        <v>0</v>
      </c>
    </row>
    <row r="220" spans="1:9" s="331" customFormat="1" ht="31.5" x14ac:dyDescent="0.25">
      <c r="A220" s="342" t="s">
        <v>288</v>
      </c>
      <c r="B220" s="338" t="s">
        <v>1528</v>
      </c>
      <c r="C220" s="346" t="s">
        <v>280</v>
      </c>
      <c r="D220" s="346" t="s">
        <v>229</v>
      </c>
      <c r="E220" s="346" t="s">
        <v>289</v>
      </c>
      <c r="F220" s="346"/>
      <c r="G220" s="335">
        <f>G221</f>
        <v>1125.9000000000001</v>
      </c>
      <c r="H220" s="335">
        <f t="shared" si="123"/>
        <v>0</v>
      </c>
      <c r="I220" s="6">
        <f t="shared" si="118"/>
        <v>0</v>
      </c>
    </row>
    <row r="221" spans="1:9" s="331" customFormat="1" ht="15.75" x14ac:dyDescent="0.25">
      <c r="A221" s="342" t="s">
        <v>290</v>
      </c>
      <c r="B221" s="338" t="s">
        <v>1528</v>
      </c>
      <c r="C221" s="346" t="s">
        <v>280</v>
      </c>
      <c r="D221" s="346" t="s">
        <v>229</v>
      </c>
      <c r="E221" s="346" t="s">
        <v>291</v>
      </c>
      <c r="F221" s="346"/>
      <c r="G221" s="335">
        <f>'Пр.4 ведом.20'!G640</f>
        <v>1125.9000000000001</v>
      </c>
      <c r="H221" s="335">
        <f>'Пр.4 ведом.20'!H640</f>
        <v>0</v>
      </c>
      <c r="I221" s="6">
        <f t="shared" si="118"/>
        <v>0</v>
      </c>
    </row>
    <row r="222" spans="1:9" s="331" customFormat="1" ht="39.200000000000003" customHeight="1" x14ac:dyDescent="0.25">
      <c r="A222" s="345" t="s">
        <v>419</v>
      </c>
      <c r="B222" s="338" t="s">
        <v>1528</v>
      </c>
      <c r="C222" s="346" t="s">
        <v>280</v>
      </c>
      <c r="D222" s="346" t="s">
        <v>229</v>
      </c>
      <c r="E222" s="346" t="s">
        <v>291</v>
      </c>
      <c r="F222" s="346" t="s">
        <v>653</v>
      </c>
      <c r="G222" s="335">
        <f>G219</f>
        <v>1125.9000000000001</v>
      </c>
      <c r="H222" s="335">
        <f t="shared" ref="H222" si="124">H219</f>
        <v>0</v>
      </c>
      <c r="I222" s="6">
        <f t="shared" si="118"/>
        <v>0</v>
      </c>
    </row>
    <row r="223" spans="1:9" s="331" customFormat="1" ht="94.5" x14ac:dyDescent="0.25">
      <c r="A223" s="31" t="s">
        <v>480</v>
      </c>
      <c r="B223" s="338" t="s">
        <v>1519</v>
      </c>
      <c r="C223" s="346" t="s">
        <v>280</v>
      </c>
      <c r="D223" s="346" t="s">
        <v>229</v>
      </c>
      <c r="E223" s="346"/>
      <c r="F223" s="346"/>
      <c r="G223" s="335">
        <f>G224</f>
        <v>3821</v>
      </c>
      <c r="H223" s="335">
        <f t="shared" ref="H223:H224" si="125">H224</f>
        <v>740.7</v>
      </c>
      <c r="I223" s="6">
        <f t="shared" si="118"/>
        <v>19.384977754514527</v>
      </c>
    </row>
    <row r="224" spans="1:9" s="331" customFormat="1" ht="31.5" x14ac:dyDescent="0.25">
      <c r="A224" s="342" t="s">
        <v>288</v>
      </c>
      <c r="B224" s="338" t="s">
        <v>1519</v>
      </c>
      <c r="C224" s="346" t="s">
        <v>280</v>
      </c>
      <c r="D224" s="346" t="s">
        <v>229</v>
      </c>
      <c r="E224" s="346" t="s">
        <v>289</v>
      </c>
      <c r="F224" s="346"/>
      <c r="G224" s="335">
        <f>G225</f>
        <v>3821</v>
      </c>
      <c r="H224" s="335">
        <f t="shared" si="125"/>
        <v>740.7</v>
      </c>
      <c r="I224" s="6">
        <f t="shared" si="118"/>
        <v>19.384977754514527</v>
      </c>
    </row>
    <row r="225" spans="1:9" s="331" customFormat="1" ht="15.75" x14ac:dyDescent="0.25">
      <c r="A225" s="342" t="s">
        <v>290</v>
      </c>
      <c r="B225" s="338" t="s">
        <v>1519</v>
      </c>
      <c r="C225" s="346" t="s">
        <v>280</v>
      </c>
      <c r="D225" s="346" t="s">
        <v>229</v>
      </c>
      <c r="E225" s="346" t="s">
        <v>291</v>
      </c>
      <c r="F225" s="346"/>
      <c r="G225" s="335">
        <f>'Пр.4 ведом.20'!G643</f>
        <v>3821</v>
      </c>
      <c r="H225" s="335">
        <f>'Пр.4 ведом.20'!H643</f>
        <v>740.7</v>
      </c>
      <c r="I225" s="6">
        <f t="shared" si="118"/>
        <v>19.384977754514527</v>
      </c>
    </row>
    <row r="226" spans="1:9" s="331" customFormat="1" ht="31.5" x14ac:dyDescent="0.25">
      <c r="A226" s="345" t="s">
        <v>419</v>
      </c>
      <c r="B226" s="338" t="s">
        <v>1519</v>
      </c>
      <c r="C226" s="346" t="s">
        <v>280</v>
      </c>
      <c r="D226" s="346" t="s">
        <v>229</v>
      </c>
      <c r="E226" s="346" t="s">
        <v>291</v>
      </c>
      <c r="F226" s="346" t="s">
        <v>653</v>
      </c>
      <c r="G226" s="335">
        <f>G223</f>
        <v>3821</v>
      </c>
      <c r="H226" s="335">
        <f t="shared" ref="H226" si="126">H223</f>
        <v>740.7</v>
      </c>
      <c r="I226" s="6">
        <f t="shared" si="118"/>
        <v>19.384977754514527</v>
      </c>
    </row>
    <row r="227" spans="1:9" s="217" customFormat="1" ht="78.75" x14ac:dyDescent="0.25">
      <c r="A227" s="31" t="s">
        <v>1457</v>
      </c>
      <c r="B227" s="20" t="s">
        <v>1049</v>
      </c>
      <c r="C227" s="40" t="s">
        <v>280</v>
      </c>
      <c r="D227" s="40" t="s">
        <v>229</v>
      </c>
      <c r="E227" s="40"/>
      <c r="F227" s="40"/>
      <c r="G227" s="6">
        <f>G228</f>
        <v>143160</v>
      </c>
      <c r="H227" s="6">
        <f t="shared" ref="H227:H228" si="127">H228</f>
        <v>72335.460000000006</v>
      </c>
      <c r="I227" s="6">
        <f t="shared" si="118"/>
        <v>50.527703269069576</v>
      </c>
    </row>
    <row r="228" spans="1:9" s="217" customFormat="1" ht="31.5" x14ac:dyDescent="0.25">
      <c r="A228" s="25" t="s">
        <v>288</v>
      </c>
      <c r="B228" s="20" t="s">
        <v>1049</v>
      </c>
      <c r="C228" s="40" t="s">
        <v>280</v>
      </c>
      <c r="D228" s="40" t="s">
        <v>229</v>
      </c>
      <c r="E228" s="40" t="s">
        <v>289</v>
      </c>
      <c r="F228" s="40"/>
      <c r="G228" s="6">
        <f>G229</f>
        <v>143160</v>
      </c>
      <c r="H228" s="6">
        <f t="shared" si="127"/>
        <v>72335.460000000006</v>
      </c>
      <c r="I228" s="6">
        <f t="shared" si="118"/>
        <v>50.527703269069576</v>
      </c>
    </row>
    <row r="229" spans="1:9" s="217" customFormat="1" ht="15.75" x14ac:dyDescent="0.25">
      <c r="A229" s="25" t="s">
        <v>290</v>
      </c>
      <c r="B229" s="20" t="s">
        <v>1049</v>
      </c>
      <c r="C229" s="40" t="s">
        <v>280</v>
      </c>
      <c r="D229" s="40" t="s">
        <v>229</v>
      </c>
      <c r="E229" s="40" t="s">
        <v>291</v>
      </c>
      <c r="F229" s="40"/>
      <c r="G229" s="6">
        <f>'Пр.3 Рд,пр, ЦС,ВР 20'!F597</f>
        <v>143160</v>
      </c>
      <c r="H229" s="6">
        <f>'Пр.3 Рд,пр, ЦС,ВР 20'!G597</f>
        <v>72335.460000000006</v>
      </c>
      <c r="I229" s="6">
        <f t="shared" si="118"/>
        <v>50.527703269069576</v>
      </c>
    </row>
    <row r="230" spans="1:9" s="217" customFormat="1" ht="31.5" x14ac:dyDescent="0.25">
      <c r="A230" s="29" t="s">
        <v>419</v>
      </c>
      <c r="B230" s="20" t="s">
        <v>1049</v>
      </c>
      <c r="C230" s="40" t="s">
        <v>280</v>
      </c>
      <c r="D230" s="40" t="s">
        <v>229</v>
      </c>
      <c r="E230" s="40" t="s">
        <v>291</v>
      </c>
      <c r="F230" s="40" t="s">
        <v>653</v>
      </c>
      <c r="G230" s="10">
        <f>G229</f>
        <v>143160</v>
      </c>
      <c r="H230" s="335">
        <f t="shared" ref="H230" si="128">H229</f>
        <v>72335.460000000006</v>
      </c>
      <c r="I230" s="6">
        <f t="shared" si="118"/>
        <v>50.527703269069576</v>
      </c>
    </row>
    <row r="231" spans="1:9" s="217" customFormat="1" ht="63" x14ac:dyDescent="0.25">
      <c r="A231" s="31" t="s">
        <v>305</v>
      </c>
      <c r="B231" s="20" t="s">
        <v>1020</v>
      </c>
      <c r="C231" s="40" t="s">
        <v>280</v>
      </c>
      <c r="D231" s="40" t="s">
        <v>229</v>
      </c>
      <c r="E231" s="40"/>
      <c r="F231" s="40"/>
      <c r="G231" s="6">
        <f>G232</f>
        <v>1245.5999999999999</v>
      </c>
      <c r="H231" s="6">
        <f t="shared" ref="H231:H232" si="129">H232</f>
        <v>523.6</v>
      </c>
      <c r="I231" s="6">
        <f t="shared" si="118"/>
        <v>42.035966602440595</v>
      </c>
    </row>
    <row r="232" spans="1:9" s="217" customFormat="1" ht="31.5" x14ac:dyDescent="0.25">
      <c r="A232" s="25" t="s">
        <v>288</v>
      </c>
      <c r="B232" s="20" t="s">
        <v>1020</v>
      </c>
      <c r="C232" s="40" t="s">
        <v>280</v>
      </c>
      <c r="D232" s="40" t="s">
        <v>229</v>
      </c>
      <c r="E232" s="40" t="s">
        <v>289</v>
      </c>
      <c r="F232" s="40"/>
      <c r="G232" s="6">
        <f>G233</f>
        <v>1245.5999999999999</v>
      </c>
      <c r="H232" s="6">
        <f t="shared" si="129"/>
        <v>523.6</v>
      </c>
      <c r="I232" s="6">
        <f t="shared" si="118"/>
        <v>42.035966602440595</v>
      </c>
    </row>
    <row r="233" spans="1:9" s="217" customFormat="1" ht="15.75" x14ac:dyDescent="0.25">
      <c r="A233" s="25" t="s">
        <v>290</v>
      </c>
      <c r="B233" s="20" t="s">
        <v>1020</v>
      </c>
      <c r="C233" s="40" t="s">
        <v>280</v>
      </c>
      <c r="D233" s="40" t="s">
        <v>229</v>
      </c>
      <c r="E233" s="40" t="s">
        <v>291</v>
      </c>
      <c r="F233" s="40"/>
      <c r="G233" s="6">
        <f>'Пр.3 Рд,пр, ЦС,ВР 20'!F600</f>
        <v>1245.5999999999999</v>
      </c>
      <c r="H233" s="6">
        <f>'Пр.3 Рд,пр, ЦС,ВР 20'!G600</f>
        <v>523.6</v>
      </c>
      <c r="I233" s="6">
        <f t="shared" si="118"/>
        <v>42.035966602440595</v>
      </c>
    </row>
    <row r="234" spans="1:9" s="217" customFormat="1" ht="31.5" x14ac:dyDescent="0.25">
      <c r="A234" s="29" t="s">
        <v>419</v>
      </c>
      <c r="B234" s="20" t="s">
        <v>1020</v>
      </c>
      <c r="C234" s="40" t="s">
        <v>280</v>
      </c>
      <c r="D234" s="40" t="s">
        <v>229</v>
      </c>
      <c r="E234" s="40" t="s">
        <v>291</v>
      </c>
      <c r="F234" s="40" t="s">
        <v>653</v>
      </c>
      <c r="G234" s="10">
        <f>G233</f>
        <v>1245.5999999999999</v>
      </c>
      <c r="H234" s="335">
        <f t="shared" ref="H234" si="130">H233</f>
        <v>523.6</v>
      </c>
      <c r="I234" s="6">
        <f t="shared" si="118"/>
        <v>42.035966602440595</v>
      </c>
    </row>
    <row r="235" spans="1:9" s="217" customFormat="1" ht="63" x14ac:dyDescent="0.25">
      <c r="A235" s="31" t="s">
        <v>307</v>
      </c>
      <c r="B235" s="20" t="s">
        <v>1023</v>
      </c>
      <c r="C235" s="40" t="s">
        <v>280</v>
      </c>
      <c r="D235" s="40" t="s">
        <v>229</v>
      </c>
      <c r="E235" s="40"/>
      <c r="F235" s="40"/>
      <c r="G235" s="6">
        <f>G236</f>
        <v>2266.6999999999998</v>
      </c>
      <c r="H235" s="6">
        <f t="shared" ref="H235:H236" si="131">H236</f>
        <v>1218.9000000000001</v>
      </c>
      <c r="I235" s="6">
        <f t="shared" si="118"/>
        <v>53.774209202805842</v>
      </c>
    </row>
    <row r="236" spans="1:9" s="217" customFormat="1" ht="31.5" x14ac:dyDescent="0.25">
      <c r="A236" s="25" t="s">
        <v>288</v>
      </c>
      <c r="B236" s="20" t="s">
        <v>1023</v>
      </c>
      <c r="C236" s="40" t="s">
        <v>280</v>
      </c>
      <c r="D236" s="40" t="s">
        <v>229</v>
      </c>
      <c r="E236" s="40" t="s">
        <v>289</v>
      </c>
      <c r="F236" s="40"/>
      <c r="G236" s="6">
        <f>G237</f>
        <v>2266.6999999999998</v>
      </c>
      <c r="H236" s="6">
        <f t="shared" si="131"/>
        <v>1218.9000000000001</v>
      </c>
      <c r="I236" s="6">
        <f t="shared" si="118"/>
        <v>53.774209202805842</v>
      </c>
    </row>
    <row r="237" spans="1:9" s="217" customFormat="1" ht="15.75" x14ac:dyDescent="0.25">
      <c r="A237" s="25" t="s">
        <v>290</v>
      </c>
      <c r="B237" s="20" t="s">
        <v>1023</v>
      </c>
      <c r="C237" s="40" t="s">
        <v>280</v>
      </c>
      <c r="D237" s="40" t="s">
        <v>229</v>
      </c>
      <c r="E237" s="40" t="s">
        <v>291</v>
      </c>
      <c r="F237" s="40"/>
      <c r="G237" s="6">
        <f>'Пр.3 Рд,пр, ЦС,ВР 20'!F603</f>
        <v>2266.6999999999998</v>
      </c>
      <c r="H237" s="6">
        <f>'Пр.3 Рд,пр, ЦС,ВР 20'!G603</f>
        <v>1218.9000000000001</v>
      </c>
      <c r="I237" s="6">
        <f t="shared" si="118"/>
        <v>53.774209202805842</v>
      </c>
    </row>
    <row r="238" spans="1:9" s="217" customFormat="1" ht="31.5" x14ac:dyDescent="0.25">
      <c r="A238" s="29" t="s">
        <v>419</v>
      </c>
      <c r="B238" s="20" t="s">
        <v>1023</v>
      </c>
      <c r="C238" s="40" t="s">
        <v>280</v>
      </c>
      <c r="D238" s="40" t="s">
        <v>229</v>
      </c>
      <c r="E238" s="40" t="s">
        <v>291</v>
      </c>
      <c r="F238" s="40" t="s">
        <v>653</v>
      </c>
      <c r="G238" s="10">
        <f>G237</f>
        <v>2266.6999999999998</v>
      </c>
      <c r="H238" s="335">
        <f t="shared" ref="H238" si="132">H237</f>
        <v>1218.9000000000001</v>
      </c>
      <c r="I238" s="6">
        <f t="shared" si="118"/>
        <v>53.774209202805842</v>
      </c>
    </row>
    <row r="239" spans="1:9" s="217" customFormat="1" ht="47.25" x14ac:dyDescent="0.25">
      <c r="A239" s="31" t="s">
        <v>478</v>
      </c>
      <c r="B239" s="20" t="s">
        <v>1050</v>
      </c>
      <c r="C239" s="40" t="s">
        <v>280</v>
      </c>
      <c r="D239" s="40" t="s">
        <v>229</v>
      </c>
      <c r="E239" s="40"/>
      <c r="F239" s="40"/>
      <c r="G239" s="6">
        <f>G240</f>
        <v>923.4</v>
      </c>
      <c r="H239" s="6">
        <f t="shared" ref="H239:H240" si="133">H240</f>
        <v>516.70000000000005</v>
      </c>
      <c r="I239" s="6">
        <f t="shared" si="118"/>
        <v>55.956248646307131</v>
      </c>
    </row>
    <row r="240" spans="1:9" s="217" customFormat="1" ht="31.5" x14ac:dyDescent="0.25">
      <c r="A240" s="25" t="s">
        <v>288</v>
      </c>
      <c r="B240" s="20" t="s">
        <v>1050</v>
      </c>
      <c r="C240" s="40" t="s">
        <v>280</v>
      </c>
      <c r="D240" s="40" t="s">
        <v>229</v>
      </c>
      <c r="E240" s="40" t="s">
        <v>289</v>
      </c>
      <c r="F240" s="40"/>
      <c r="G240" s="6">
        <f>G241</f>
        <v>923.4</v>
      </c>
      <c r="H240" s="6">
        <f t="shared" si="133"/>
        <v>516.70000000000005</v>
      </c>
      <c r="I240" s="6">
        <f t="shared" si="118"/>
        <v>55.956248646307131</v>
      </c>
    </row>
    <row r="241" spans="1:9" s="217" customFormat="1" ht="15.75" x14ac:dyDescent="0.25">
      <c r="A241" s="25" t="s">
        <v>290</v>
      </c>
      <c r="B241" s="20" t="s">
        <v>1050</v>
      </c>
      <c r="C241" s="40" t="s">
        <v>280</v>
      </c>
      <c r="D241" s="40" t="s">
        <v>229</v>
      </c>
      <c r="E241" s="40" t="s">
        <v>291</v>
      </c>
      <c r="F241" s="40"/>
      <c r="G241" s="6">
        <f>'Пр.3 Рд,пр, ЦС,ВР 20'!F606</f>
        <v>923.4</v>
      </c>
      <c r="H241" s="6">
        <f>'Пр.3 Рд,пр, ЦС,ВР 20'!G606</f>
        <v>516.70000000000005</v>
      </c>
      <c r="I241" s="6">
        <f t="shared" si="118"/>
        <v>55.956248646307131</v>
      </c>
    </row>
    <row r="242" spans="1:9" s="217" customFormat="1" ht="31.5" x14ac:dyDescent="0.25">
      <c r="A242" s="29" t="s">
        <v>419</v>
      </c>
      <c r="B242" s="20" t="s">
        <v>1050</v>
      </c>
      <c r="C242" s="40" t="s">
        <v>280</v>
      </c>
      <c r="D242" s="40" t="s">
        <v>229</v>
      </c>
      <c r="E242" s="40" t="s">
        <v>291</v>
      </c>
      <c r="F242" s="40" t="s">
        <v>653</v>
      </c>
      <c r="G242" s="10">
        <f>G241</f>
        <v>923.4</v>
      </c>
      <c r="H242" s="335">
        <f t="shared" ref="H242" si="134">H241</f>
        <v>516.70000000000005</v>
      </c>
      <c r="I242" s="6">
        <f t="shared" si="118"/>
        <v>55.956248646307131</v>
      </c>
    </row>
    <row r="243" spans="1:9" s="217" customFormat="1" ht="94.5" x14ac:dyDescent="0.25">
      <c r="A243" s="31" t="s">
        <v>480</v>
      </c>
      <c r="B243" s="20" t="s">
        <v>1024</v>
      </c>
      <c r="C243" s="40" t="s">
        <v>280</v>
      </c>
      <c r="D243" s="40" t="s">
        <v>229</v>
      </c>
      <c r="E243" s="40"/>
      <c r="F243" s="40"/>
      <c r="G243" s="6">
        <f>G244</f>
        <v>1019.9999999999991</v>
      </c>
      <c r="H243" s="6">
        <f t="shared" ref="H243:H244" si="135">H244</f>
        <v>1020</v>
      </c>
      <c r="I243" s="6">
        <f t="shared" si="118"/>
        <v>100.00000000000009</v>
      </c>
    </row>
    <row r="244" spans="1:9" s="217" customFormat="1" ht="31.5" x14ac:dyDescent="0.25">
      <c r="A244" s="25" t="s">
        <v>288</v>
      </c>
      <c r="B244" s="20" t="s">
        <v>1024</v>
      </c>
      <c r="C244" s="40" t="s">
        <v>280</v>
      </c>
      <c r="D244" s="40" t="s">
        <v>229</v>
      </c>
      <c r="E244" s="40" t="s">
        <v>289</v>
      </c>
      <c r="F244" s="40"/>
      <c r="G244" s="6">
        <f>G245</f>
        <v>1019.9999999999991</v>
      </c>
      <c r="H244" s="6">
        <f t="shared" si="135"/>
        <v>1020</v>
      </c>
      <c r="I244" s="6">
        <f t="shared" si="118"/>
        <v>100.00000000000009</v>
      </c>
    </row>
    <row r="245" spans="1:9" s="217" customFormat="1" ht="15.75" x14ac:dyDescent="0.25">
      <c r="A245" s="25" t="s">
        <v>290</v>
      </c>
      <c r="B245" s="20" t="s">
        <v>1024</v>
      </c>
      <c r="C245" s="40" t="s">
        <v>280</v>
      </c>
      <c r="D245" s="40" t="s">
        <v>229</v>
      </c>
      <c r="E245" s="40" t="s">
        <v>291</v>
      </c>
      <c r="F245" s="40"/>
      <c r="G245" s="6">
        <f>'Пр.3 Рд,пр, ЦС,ВР 20'!F609</f>
        <v>1019.9999999999991</v>
      </c>
      <c r="H245" s="6">
        <f>'Пр.3 Рд,пр, ЦС,ВР 20'!G609</f>
        <v>1020</v>
      </c>
      <c r="I245" s="6">
        <f t="shared" si="118"/>
        <v>100.00000000000009</v>
      </c>
    </row>
    <row r="246" spans="1:9" s="217" customFormat="1" ht="31.5" x14ac:dyDescent="0.25">
      <c r="A246" s="29" t="s">
        <v>419</v>
      </c>
      <c r="B246" s="20" t="s">
        <v>1024</v>
      </c>
      <c r="C246" s="40" t="s">
        <v>280</v>
      </c>
      <c r="D246" s="40" t="s">
        <v>229</v>
      </c>
      <c r="E246" s="40" t="s">
        <v>291</v>
      </c>
      <c r="F246" s="40" t="s">
        <v>653</v>
      </c>
      <c r="G246" s="10">
        <f>G245</f>
        <v>1019.9999999999991</v>
      </c>
      <c r="H246" s="335">
        <f t="shared" ref="H246" si="136">H245</f>
        <v>1020</v>
      </c>
      <c r="I246" s="6">
        <f t="shared" si="118"/>
        <v>100.00000000000009</v>
      </c>
    </row>
    <row r="247" spans="1:9" ht="15.75" x14ac:dyDescent="0.25">
      <c r="A247" s="29" t="s">
        <v>281</v>
      </c>
      <c r="B247" s="40" t="s">
        <v>1021</v>
      </c>
      <c r="C247" s="40" t="s">
        <v>280</v>
      </c>
      <c r="D247" s="40" t="s">
        <v>231</v>
      </c>
      <c r="E247" s="40"/>
      <c r="F247" s="40"/>
      <c r="G247" s="6">
        <f>G252+G256+G260+G248</f>
        <v>1622.2</v>
      </c>
      <c r="H247" s="6">
        <f t="shared" ref="H247" si="137">H252+H256+H260+H248</f>
        <v>1222.3700000000001</v>
      </c>
      <c r="I247" s="6">
        <f t="shared" si="118"/>
        <v>75.352607569966708</v>
      </c>
    </row>
    <row r="248" spans="1:9" s="331" customFormat="1" ht="94.5" x14ac:dyDescent="0.25">
      <c r="A248" s="31" t="s">
        <v>309</v>
      </c>
      <c r="B248" s="338" t="s">
        <v>1519</v>
      </c>
      <c r="C248" s="346" t="s">
        <v>280</v>
      </c>
      <c r="D248" s="346" t="s">
        <v>231</v>
      </c>
      <c r="E248" s="346"/>
      <c r="F248" s="346"/>
      <c r="G248" s="6">
        <f>G249</f>
        <v>216.9</v>
      </c>
      <c r="H248" s="6">
        <f t="shared" ref="H248:H249" si="138">H249</f>
        <v>65.67</v>
      </c>
      <c r="I248" s="6">
        <f t="shared" si="118"/>
        <v>30.276625172890732</v>
      </c>
    </row>
    <row r="249" spans="1:9" s="331" customFormat="1" ht="31.5" x14ac:dyDescent="0.25">
      <c r="A249" s="342" t="s">
        <v>288</v>
      </c>
      <c r="B249" s="338" t="s">
        <v>1519</v>
      </c>
      <c r="C249" s="346" t="s">
        <v>280</v>
      </c>
      <c r="D249" s="346" t="s">
        <v>231</v>
      </c>
      <c r="E249" s="346" t="s">
        <v>289</v>
      </c>
      <c r="F249" s="346"/>
      <c r="G249" s="6">
        <f>G250</f>
        <v>216.9</v>
      </c>
      <c r="H249" s="6">
        <f t="shared" si="138"/>
        <v>65.67</v>
      </c>
      <c r="I249" s="6">
        <f t="shared" si="118"/>
        <v>30.276625172890732</v>
      </c>
    </row>
    <row r="250" spans="1:9" s="331" customFormat="1" ht="15.75" x14ac:dyDescent="0.25">
      <c r="A250" s="342" t="s">
        <v>290</v>
      </c>
      <c r="B250" s="338" t="s">
        <v>1519</v>
      </c>
      <c r="C250" s="346" t="s">
        <v>280</v>
      </c>
      <c r="D250" s="346" t="s">
        <v>231</v>
      </c>
      <c r="E250" s="346" t="s">
        <v>291</v>
      </c>
      <c r="F250" s="346"/>
      <c r="G250" s="6">
        <f>'Пр.4 ведом.20'!G728</f>
        <v>216.9</v>
      </c>
      <c r="H250" s="6">
        <f>'Пр.4 ведом.20'!H728</f>
        <v>65.67</v>
      </c>
      <c r="I250" s="6">
        <f t="shared" si="118"/>
        <v>30.276625172890732</v>
      </c>
    </row>
    <row r="251" spans="1:9" s="331" customFormat="1" ht="31.5" x14ac:dyDescent="0.25">
      <c r="A251" s="345" t="s">
        <v>419</v>
      </c>
      <c r="B251" s="338" t="s">
        <v>1519</v>
      </c>
      <c r="C251" s="346" t="s">
        <v>280</v>
      </c>
      <c r="D251" s="346" t="s">
        <v>231</v>
      </c>
      <c r="E251" s="346" t="s">
        <v>291</v>
      </c>
      <c r="F251" s="346" t="s">
        <v>653</v>
      </c>
      <c r="G251" s="6">
        <f>G248</f>
        <v>216.9</v>
      </c>
      <c r="H251" s="6">
        <f t="shared" ref="H251" si="139">H248</f>
        <v>65.67</v>
      </c>
      <c r="I251" s="6">
        <f t="shared" si="118"/>
        <v>30.276625172890732</v>
      </c>
    </row>
    <row r="252" spans="1:9" s="217" customFormat="1" ht="63" x14ac:dyDescent="0.25">
      <c r="A252" s="31" t="s">
        <v>305</v>
      </c>
      <c r="B252" s="20" t="s">
        <v>1020</v>
      </c>
      <c r="C252" s="40" t="s">
        <v>280</v>
      </c>
      <c r="D252" s="40" t="s">
        <v>231</v>
      </c>
      <c r="E252" s="40"/>
      <c r="F252" s="40"/>
      <c r="G252" s="6">
        <f>G253</f>
        <v>169.3</v>
      </c>
      <c r="H252" s="6">
        <f t="shared" ref="H252:H253" si="140">H253</f>
        <v>106.2</v>
      </c>
      <c r="I252" s="6">
        <f t="shared" si="118"/>
        <v>62.728883638511512</v>
      </c>
    </row>
    <row r="253" spans="1:9" s="217" customFormat="1" ht="31.5" x14ac:dyDescent="0.25">
      <c r="A253" s="25" t="s">
        <v>288</v>
      </c>
      <c r="B253" s="20" t="s">
        <v>1020</v>
      </c>
      <c r="C253" s="40" t="s">
        <v>280</v>
      </c>
      <c r="D253" s="40" t="s">
        <v>231</v>
      </c>
      <c r="E253" s="40" t="s">
        <v>289</v>
      </c>
      <c r="F253" s="40"/>
      <c r="G253" s="6">
        <f>G254</f>
        <v>169.3</v>
      </c>
      <c r="H253" s="6">
        <f t="shared" si="140"/>
        <v>106.2</v>
      </c>
      <c r="I253" s="6">
        <f t="shared" si="118"/>
        <v>62.728883638511512</v>
      </c>
    </row>
    <row r="254" spans="1:9" s="217" customFormat="1" ht="15.75" x14ac:dyDescent="0.25">
      <c r="A254" s="25" t="s">
        <v>290</v>
      </c>
      <c r="B254" s="20" t="s">
        <v>1020</v>
      </c>
      <c r="C254" s="40" t="s">
        <v>280</v>
      </c>
      <c r="D254" s="40" t="s">
        <v>231</v>
      </c>
      <c r="E254" s="40" t="s">
        <v>291</v>
      </c>
      <c r="F254" s="40"/>
      <c r="G254" s="6">
        <f>'Пр.4 ведом.20'!G731</f>
        <v>169.3</v>
      </c>
      <c r="H254" s="6">
        <f>'Пр.4 ведом.20'!H731</f>
        <v>106.2</v>
      </c>
      <c r="I254" s="6">
        <f t="shared" si="118"/>
        <v>62.728883638511512</v>
      </c>
    </row>
    <row r="255" spans="1:9" s="217" customFormat="1" ht="31.5" x14ac:dyDescent="0.25">
      <c r="A255" s="29" t="s">
        <v>419</v>
      </c>
      <c r="B255" s="20" t="s">
        <v>1020</v>
      </c>
      <c r="C255" s="40" t="s">
        <v>280</v>
      </c>
      <c r="D255" s="40" t="s">
        <v>231</v>
      </c>
      <c r="E255" s="40" t="s">
        <v>291</v>
      </c>
      <c r="F255" s="40" t="s">
        <v>653</v>
      </c>
      <c r="G255" s="10">
        <f>G254</f>
        <v>169.3</v>
      </c>
      <c r="H255" s="335">
        <f t="shared" ref="H255" si="141">H254</f>
        <v>106.2</v>
      </c>
      <c r="I255" s="6">
        <f t="shared" si="118"/>
        <v>62.728883638511512</v>
      </c>
    </row>
    <row r="256" spans="1:9" s="217" customFormat="1" ht="63" x14ac:dyDescent="0.25">
      <c r="A256" s="31" t="s">
        <v>307</v>
      </c>
      <c r="B256" s="20" t="s">
        <v>1023</v>
      </c>
      <c r="C256" s="40" t="s">
        <v>280</v>
      </c>
      <c r="D256" s="40" t="s">
        <v>231</v>
      </c>
      <c r="E256" s="40"/>
      <c r="F256" s="40"/>
      <c r="G256" s="6">
        <f>G257</f>
        <v>549.5</v>
      </c>
      <c r="H256" s="6">
        <f t="shared" ref="H256:H257" si="142">H257</f>
        <v>364</v>
      </c>
      <c r="I256" s="6">
        <f t="shared" si="118"/>
        <v>66.242038216560502</v>
      </c>
    </row>
    <row r="257" spans="1:9" s="217" customFormat="1" ht="31.5" x14ac:dyDescent="0.25">
      <c r="A257" s="25" t="s">
        <v>288</v>
      </c>
      <c r="B257" s="20" t="s">
        <v>1023</v>
      </c>
      <c r="C257" s="40" t="s">
        <v>280</v>
      </c>
      <c r="D257" s="40" t="s">
        <v>231</v>
      </c>
      <c r="E257" s="40" t="s">
        <v>289</v>
      </c>
      <c r="F257" s="40"/>
      <c r="G257" s="6">
        <f>G258</f>
        <v>549.5</v>
      </c>
      <c r="H257" s="6">
        <f t="shared" si="142"/>
        <v>364</v>
      </c>
      <c r="I257" s="6">
        <f t="shared" si="118"/>
        <v>66.242038216560502</v>
      </c>
    </row>
    <row r="258" spans="1:9" s="217" customFormat="1" ht="15.75" x14ac:dyDescent="0.25">
      <c r="A258" s="25" t="s">
        <v>290</v>
      </c>
      <c r="B258" s="20" t="s">
        <v>1023</v>
      </c>
      <c r="C258" s="40" t="s">
        <v>280</v>
      </c>
      <c r="D258" s="40" t="s">
        <v>231</v>
      </c>
      <c r="E258" s="40" t="s">
        <v>291</v>
      </c>
      <c r="F258" s="40"/>
      <c r="G258" s="6">
        <f>'Пр.4 ведом.20'!G734</f>
        <v>549.5</v>
      </c>
      <c r="H258" s="6">
        <f>'Пр.4 ведом.20'!H734</f>
        <v>364</v>
      </c>
      <c r="I258" s="6">
        <f t="shared" si="118"/>
        <v>66.242038216560502</v>
      </c>
    </row>
    <row r="259" spans="1:9" s="217" customFormat="1" ht="31.5" x14ac:dyDescent="0.25">
      <c r="A259" s="29" t="s">
        <v>419</v>
      </c>
      <c r="B259" s="20" t="s">
        <v>1023</v>
      </c>
      <c r="C259" s="40" t="s">
        <v>280</v>
      </c>
      <c r="D259" s="40" t="s">
        <v>231</v>
      </c>
      <c r="E259" s="40" t="s">
        <v>291</v>
      </c>
      <c r="F259" s="40" t="s">
        <v>653</v>
      </c>
      <c r="G259" s="10">
        <f>G258</f>
        <v>549.5</v>
      </c>
      <c r="H259" s="335">
        <f t="shared" ref="H259" si="143">H258</f>
        <v>364</v>
      </c>
      <c r="I259" s="6">
        <f t="shared" si="118"/>
        <v>66.242038216560502</v>
      </c>
    </row>
    <row r="260" spans="1:9" s="217" customFormat="1" ht="94.5" x14ac:dyDescent="0.25">
      <c r="A260" s="31" t="s">
        <v>309</v>
      </c>
      <c r="B260" s="20" t="s">
        <v>1024</v>
      </c>
      <c r="C260" s="40" t="s">
        <v>280</v>
      </c>
      <c r="D260" s="40" t="s">
        <v>231</v>
      </c>
      <c r="E260" s="40"/>
      <c r="F260" s="40"/>
      <c r="G260" s="6">
        <f>G261</f>
        <v>686.5</v>
      </c>
      <c r="H260" s="6">
        <f t="shared" ref="H260:H261" si="144">H261</f>
        <v>686.5</v>
      </c>
      <c r="I260" s="6">
        <f t="shared" si="118"/>
        <v>100</v>
      </c>
    </row>
    <row r="261" spans="1:9" s="217" customFormat="1" ht="31.5" x14ac:dyDescent="0.25">
      <c r="A261" s="25" t="s">
        <v>288</v>
      </c>
      <c r="B261" s="20" t="s">
        <v>1024</v>
      </c>
      <c r="C261" s="40" t="s">
        <v>280</v>
      </c>
      <c r="D261" s="40" t="s">
        <v>231</v>
      </c>
      <c r="E261" s="40" t="s">
        <v>289</v>
      </c>
      <c r="F261" s="40"/>
      <c r="G261" s="6">
        <f>G262</f>
        <v>686.5</v>
      </c>
      <c r="H261" s="6">
        <f t="shared" si="144"/>
        <v>686.5</v>
      </c>
      <c r="I261" s="6">
        <f t="shared" si="118"/>
        <v>100</v>
      </c>
    </row>
    <row r="262" spans="1:9" s="217" customFormat="1" ht="15.75" x14ac:dyDescent="0.25">
      <c r="A262" s="25" t="s">
        <v>290</v>
      </c>
      <c r="B262" s="20" t="s">
        <v>1024</v>
      </c>
      <c r="C262" s="40" t="s">
        <v>280</v>
      </c>
      <c r="D262" s="40" t="s">
        <v>231</v>
      </c>
      <c r="E262" s="40" t="s">
        <v>291</v>
      </c>
      <c r="F262" s="40"/>
      <c r="G262" s="6">
        <f>'Пр.4 ведом.20'!G736</f>
        <v>686.5</v>
      </c>
      <c r="H262" s="6">
        <f>'Пр.4 ведом.20'!H736</f>
        <v>686.5</v>
      </c>
      <c r="I262" s="6">
        <f t="shared" si="118"/>
        <v>100</v>
      </c>
    </row>
    <row r="263" spans="1:9" s="217" customFormat="1" ht="31.5" x14ac:dyDescent="0.25">
      <c r="A263" s="29" t="s">
        <v>419</v>
      </c>
      <c r="B263" s="20" t="s">
        <v>1024</v>
      </c>
      <c r="C263" s="40" t="s">
        <v>280</v>
      </c>
      <c r="D263" s="40" t="s">
        <v>231</v>
      </c>
      <c r="E263" s="40" t="s">
        <v>291</v>
      </c>
      <c r="F263" s="40" t="s">
        <v>653</v>
      </c>
      <c r="G263" s="10">
        <f>G262</f>
        <v>686.5</v>
      </c>
      <c r="H263" s="335">
        <f t="shared" ref="H263" si="145">H262</f>
        <v>686.5</v>
      </c>
      <c r="I263" s="6">
        <f t="shared" si="118"/>
        <v>100</v>
      </c>
    </row>
    <row r="264" spans="1:9" ht="31.5" x14ac:dyDescent="0.25">
      <c r="A264" s="41" t="s">
        <v>427</v>
      </c>
      <c r="B264" s="7" t="s">
        <v>428</v>
      </c>
      <c r="C264" s="7"/>
      <c r="D264" s="7"/>
      <c r="E264" s="7"/>
      <c r="F264" s="7"/>
      <c r="G264" s="59">
        <f>G265+G280+G295+G306</f>
        <v>11069</v>
      </c>
      <c r="H264" s="347">
        <f t="shared" ref="H264" si="146">H265+H280+H295+H306</f>
        <v>5850.3</v>
      </c>
      <c r="I264" s="4">
        <f t="shared" si="118"/>
        <v>52.853012918962875</v>
      </c>
    </row>
    <row r="265" spans="1:9" s="217" customFormat="1" ht="31.5" x14ac:dyDescent="0.25">
      <c r="A265" s="23" t="s">
        <v>1007</v>
      </c>
      <c r="B265" s="24" t="s">
        <v>1008</v>
      </c>
      <c r="C265" s="7"/>
      <c r="D265" s="7"/>
      <c r="E265" s="7"/>
      <c r="F265" s="7"/>
      <c r="G265" s="59">
        <f>G266</f>
        <v>4430</v>
      </c>
      <c r="H265" s="347">
        <f t="shared" ref="H265" si="147">H266</f>
        <v>2430.3000000000002</v>
      </c>
      <c r="I265" s="4">
        <f t="shared" si="118"/>
        <v>54.860045146726868</v>
      </c>
    </row>
    <row r="266" spans="1:9" ht="15.75" x14ac:dyDescent="0.25">
      <c r="A266" s="29" t="s">
        <v>279</v>
      </c>
      <c r="B266" s="40" t="s">
        <v>1008</v>
      </c>
      <c r="C266" s="40" t="s">
        <v>280</v>
      </c>
      <c r="D266" s="40"/>
      <c r="E266" s="40"/>
      <c r="F266" s="40"/>
      <c r="G266" s="10">
        <f t="shared" ref="G266:H266" si="148">G267</f>
        <v>4430</v>
      </c>
      <c r="H266" s="335">
        <f t="shared" si="148"/>
        <v>2430.3000000000002</v>
      </c>
      <c r="I266" s="6">
        <f t="shared" si="118"/>
        <v>54.860045146726868</v>
      </c>
    </row>
    <row r="267" spans="1:9" ht="15.75" x14ac:dyDescent="0.25">
      <c r="A267" s="45" t="s">
        <v>420</v>
      </c>
      <c r="B267" s="40" t="s">
        <v>1008</v>
      </c>
      <c r="C267" s="40" t="s">
        <v>280</v>
      </c>
      <c r="D267" s="40" t="s">
        <v>134</v>
      </c>
      <c r="E267" s="40"/>
      <c r="F267" s="40"/>
      <c r="G267" s="10">
        <f>G268+G272+G276</f>
        <v>4430</v>
      </c>
      <c r="H267" s="335">
        <f t="shared" ref="H267" si="149">H268+H272+H276</f>
        <v>2430.3000000000002</v>
      </c>
      <c r="I267" s="6">
        <f t="shared" si="118"/>
        <v>54.860045146726868</v>
      </c>
    </row>
    <row r="268" spans="1:9" ht="31.5" hidden="1" x14ac:dyDescent="0.25">
      <c r="A268" s="29" t="s">
        <v>294</v>
      </c>
      <c r="B268" s="20" t="s">
        <v>1009</v>
      </c>
      <c r="C268" s="40" t="s">
        <v>280</v>
      </c>
      <c r="D268" s="40" t="s">
        <v>134</v>
      </c>
      <c r="E268" s="40"/>
      <c r="F268" s="40"/>
      <c r="G268" s="10">
        <f t="shared" ref="G268:H269" si="150">G269</f>
        <v>0</v>
      </c>
      <c r="H268" s="335">
        <f t="shared" si="150"/>
        <v>0</v>
      </c>
      <c r="I268" s="6" t="e">
        <f t="shared" si="118"/>
        <v>#DIV/0!</v>
      </c>
    </row>
    <row r="269" spans="1:9" ht="31.5" hidden="1" x14ac:dyDescent="0.25">
      <c r="A269" s="29" t="s">
        <v>288</v>
      </c>
      <c r="B269" s="20" t="s">
        <v>1009</v>
      </c>
      <c r="C269" s="40" t="s">
        <v>280</v>
      </c>
      <c r="D269" s="40" t="s">
        <v>134</v>
      </c>
      <c r="E269" s="40" t="s">
        <v>289</v>
      </c>
      <c r="F269" s="40"/>
      <c r="G269" s="10">
        <f t="shared" si="150"/>
        <v>0</v>
      </c>
      <c r="H269" s="335">
        <f t="shared" si="150"/>
        <v>0</v>
      </c>
      <c r="I269" s="6" t="e">
        <f t="shared" si="118"/>
        <v>#DIV/0!</v>
      </c>
    </row>
    <row r="270" spans="1:9" ht="15.75" hidden="1" x14ac:dyDescent="0.25">
      <c r="A270" s="29" t="s">
        <v>290</v>
      </c>
      <c r="B270" s="20" t="s">
        <v>1009</v>
      </c>
      <c r="C270" s="40" t="s">
        <v>280</v>
      </c>
      <c r="D270" s="40" t="s">
        <v>134</v>
      </c>
      <c r="E270" s="40" t="s">
        <v>291</v>
      </c>
      <c r="F270" s="40"/>
      <c r="G270" s="10">
        <f>'Пр.4 ведом.20'!G583</f>
        <v>0</v>
      </c>
      <c r="H270" s="335">
        <f>'Пр.4 ведом.20'!H583</f>
        <v>0</v>
      </c>
      <c r="I270" s="6" t="e">
        <f t="shared" si="118"/>
        <v>#DIV/0!</v>
      </c>
    </row>
    <row r="271" spans="1:9" s="217" customFormat="1" ht="31.5" hidden="1" x14ac:dyDescent="0.25">
      <c r="A271" s="29" t="s">
        <v>419</v>
      </c>
      <c r="B271" s="20" t="s">
        <v>1009</v>
      </c>
      <c r="C271" s="40" t="s">
        <v>280</v>
      </c>
      <c r="D271" s="40" t="s">
        <v>134</v>
      </c>
      <c r="E271" s="40" t="s">
        <v>291</v>
      </c>
      <c r="F271" s="40" t="s">
        <v>653</v>
      </c>
      <c r="G271" s="10">
        <f>G270</f>
        <v>0</v>
      </c>
      <c r="H271" s="335">
        <f t="shared" ref="H271" si="151">H270</f>
        <v>0</v>
      </c>
      <c r="I271" s="6" t="e">
        <f t="shared" si="118"/>
        <v>#DIV/0!</v>
      </c>
    </row>
    <row r="272" spans="1:9" ht="31.7" hidden="1" customHeight="1" x14ac:dyDescent="0.25">
      <c r="A272" s="29" t="s">
        <v>296</v>
      </c>
      <c r="B272" s="20" t="s">
        <v>1010</v>
      </c>
      <c r="C272" s="40" t="s">
        <v>280</v>
      </c>
      <c r="D272" s="40" t="s">
        <v>134</v>
      </c>
      <c r="E272" s="40"/>
      <c r="F272" s="40"/>
      <c r="G272" s="10">
        <f t="shared" ref="G272:H273" si="152">G273</f>
        <v>0</v>
      </c>
      <c r="H272" s="335">
        <f t="shared" si="152"/>
        <v>0</v>
      </c>
      <c r="I272" s="6" t="e">
        <f t="shared" si="118"/>
        <v>#DIV/0!</v>
      </c>
    </row>
    <row r="273" spans="1:9" ht="31.7" hidden="1" customHeight="1" x14ac:dyDescent="0.25">
      <c r="A273" s="29" t="s">
        <v>288</v>
      </c>
      <c r="B273" s="20" t="s">
        <v>1010</v>
      </c>
      <c r="C273" s="40" t="s">
        <v>280</v>
      </c>
      <c r="D273" s="40" t="s">
        <v>134</v>
      </c>
      <c r="E273" s="40" t="s">
        <v>289</v>
      </c>
      <c r="F273" s="40"/>
      <c r="G273" s="10">
        <f t="shared" si="152"/>
        <v>0</v>
      </c>
      <c r="H273" s="335">
        <f t="shared" si="152"/>
        <v>0</v>
      </c>
      <c r="I273" s="6" t="e">
        <f t="shared" si="118"/>
        <v>#DIV/0!</v>
      </c>
    </row>
    <row r="274" spans="1:9" ht="15.75" hidden="1" customHeight="1" x14ac:dyDescent="0.25">
      <c r="A274" s="29" t="s">
        <v>290</v>
      </c>
      <c r="B274" s="20" t="s">
        <v>1010</v>
      </c>
      <c r="C274" s="40" t="s">
        <v>280</v>
      </c>
      <c r="D274" s="40" t="s">
        <v>134</v>
      </c>
      <c r="E274" s="40" t="s">
        <v>291</v>
      </c>
      <c r="F274" s="40"/>
      <c r="G274" s="10">
        <f>'Пр.4 ведом.20'!G586</f>
        <v>0</v>
      </c>
      <c r="H274" s="335">
        <f>'Пр.4 ведом.20'!H586</f>
        <v>0</v>
      </c>
      <c r="I274" s="6" t="e">
        <f t="shared" si="118"/>
        <v>#DIV/0!</v>
      </c>
    </row>
    <row r="275" spans="1:9" s="217" customFormat="1" ht="15.75" hidden="1" customHeight="1" x14ac:dyDescent="0.25">
      <c r="A275" s="29" t="s">
        <v>419</v>
      </c>
      <c r="B275" s="20" t="s">
        <v>1010</v>
      </c>
      <c r="C275" s="40" t="s">
        <v>280</v>
      </c>
      <c r="D275" s="40" t="s">
        <v>134</v>
      </c>
      <c r="E275" s="40" t="s">
        <v>291</v>
      </c>
      <c r="F275" s="40" t="s">
        <v>653</v>
      </c>
      <c r="G275" s="10">
        <f>G274</f>
        <v>0</v>
      </c>
      <c r="H275" s="335">
        <f t="shared" ref="H275" si="153">H274</f>
        <v>0</v>
      </c>
      <c r="I275" s="6" t="e">
        <f t="shared" ref="I275:I338" si="154">H275/G275*100</f>
        <v>#DIV/0!</v>
      </c>
    </row>
    <row r="276" spans="1:9" ht="31.5" x14ac:dyDescent="0.25">
      <c r="A276" s="29" t="s">
        <v>431</v>
      </c>
      <c r="B276" s="20" t="s">
        <v>1011</v>
      </c>
      <c r="C276" s="40" t="s">
        <v>280</v>
      </c>
      <c r="D276" s="40" t="s">
        <v>134</v>
      </c>
      <c r="E276" s="40"/>
      <c r="F276" s="40"/>
      <c r="G276" s="10">
        <f t="shared" ref="G276:H277" si="155">G277</f>
        <v>4430</v>
      </c>
      <c r="H276" s="335">
        <f t="shared" si="155"/>
        <v>2430.3000000000002</v>
      </c>
      <c r="I276" s="6">
        <f t="shared" si="154"/>
        <v>54.860045146726868</v>
      </c>
    </row>
    <row r="277" spans="1:9" ht="33.75" customHeight="1" x14ac:dyDescent="0.25">
      <c r="A277" s="29" t="s">
        <v>288</v>
      </c>
      <c r="B277" s="20" t="s">
        <v>1011</v>
      </c>
      <c r="C277" s="40" t="s">
        <v>280</v>
      </c>
      <c r="D277" s="40" t="s">
        <v>134</v>
      </c>
      <c r="E277" s="40" t="s">
        <v>289</v>
      </c>
      <c r="F277" s="40"/>
      <c r="G277" s="10">
        <f t="shared" si="155"/>
        <v>4430</v>
      </c>
      <c r="H277" s="335">
        <f t="shared" si="155"/>
        <v>2430.3000000000002</v>
      </c>
      <c r="I277" s="6">
        <f t="shared" si="154"/>
        <v>54.860045146726868</v>
      </c>
    </row>
    <row r="278" spans="1:9" ht="15.75" x14ac:dyDescent="0.25">
      <c r="A278" s="29" t="s">
        <v>290</v>
      </c>
      <c r="B278" s="20" t="s">
        <v>1011</v>
      </c>
      <c r="C278" s="40" t="s">
        <v>280</v>
      </c>
      <c r="D278" s="40" t="s">
        <v>134</v>
      </c>
      <c r="E278" s="40" t="s">
        <v>291</v>
      </c>
      <c r="F278" s="40"/>
      <c r="G278" s="6">
        <f>'Пр.4 ведом.20'!G589</f>
        <v>4430</v>
      </c>
      <c r="H278" s="6">
        <f>'Пр.4 ведом.20'!H589</f>
        <v>2430.3000000000002</v>
      </c>
      <c r="I278" s="6">
        <f t="shared" si="154"/>
        <v>54.860045146726868</v>
      </c>
    </row>
    <row r="279" spans="1:9" s="217" customFormat="1" ht="31.5" x14ac:dyDescent="0.25">
      <c r="A279" s="29" t="s">
        <v>419</v>
      </c>
      <c r="B279" s="20" t="s">
        <v>1011</v>
      </c>
      <c r="C279" s="40" t="s">
        <v>280</v>
      </c>
      <c r="D279" s="40" t="s">
        <v>134</v>
      </c>
      <c r="E279" s="40" t="s">
        <v>291</v>
      </c>
      <c r="F279" s="40" t="s">
        <v>653</v>
      </c>
      <c r="G279" s="10">
        <f>G278</f>
        <v>4430</v>
      </c>
      <c r="H279" s="335">
        <f t="shared" ref="H279" si="156">H278</f>
        <v>2430.3000000000002</v>
      </c>
      <c r="I279" s="6">
        <f t="shared" si="154"/>
        <v>54.860045146726868</v>
      </c>
    </row>
    <row r="280" spans="1:9" s="217" customFormat="1" ht="31.5" x14ac:dyDescent="0.25">
      <c r="A280" s="231" t="s">
        <v>1077</v>
      </c>
      <c r="B280" s="24" t="s">
        <v>1012</v>
      </c>
      <c r="C280" s="7"/>
      <c r="D280" s="7"/>
      <c r="E280" s="7"/>
      <c r="F280" s="7"/>
      <c r="G280" s="4">
        <f>G281</f>
        <v>4610</v>
      </c>
      <c r="H280" s="4">
        <f t="shared" ref="H280" si="157">H281</f>
        <v>3420</v>
      </c>
      <c r="I280" s="4">
        <f t="shared" si="154"/>
        <v>74.186550976138832</v>
      </c>
    </row>
    <row r="281" spans="1:9" s="217" customFormat="1" ht="15.75" x14ac:dyDescent="0.25">
      <c r="A281" s="29" t="s">
        <v>279</v>
      </c>
      <c r="B281" s="40" t="s">
        <v>1012</v>
      </c>
      <c r="C281" s="40" t="s">
        <v>280</v>
      </c>
      <c r="D281" s="40"/>
      <c r="E281" s="40"/>
      <c r="F281" s="40"/>
      <c r="G281" s="10">
        <f t="shared" ref="G281:H281" si="158">G282</f>
        <v>4610</v>
      </c>
      <c r="H281" s="335">
        <f t="shared" si="158"/>
        <v>3420</v>
      </c>
      <c r="I281" s="6">
        <f t="shared" si="154"/>
        <v>74.186550976138832</v>
      </c>
    </row>
    <row r="282" spans="1:9" s="217" customFormat="1" ht="15.75" x14ac:dyDescent="0.25">
      <c r="A282" s="45" t="s">
        <v>420</v>
      </c>
      <c r="B282" s="40" t="s">
        <v>1012</v>
      </c>
      <c r="C282" s="40" t="s">
        <v>280</v>
      </c>
      <c r="D282" s="40" t="s">
        <v>134</v>
      </c>
      <c r="E282" s="40"/>
      <c r="F282" s="40"/>
      <c r="G282" s="10">
        <f>G283+G287+G291</f>
        <v>4610</v>
      </c>
      <c r="H282" s="335">
        <f t="shared" ref="H282" si="159">H283+H287+H291</f>
        <v>3420</v>
      </c>
      <c r="I282" s="6">
        <f t="shared" si="154"/>
        <v>74.186550976138832</v>
      </c>
    </row>
    <row r="283" spans="1:9" ht="31.7" hidden="1" customHeight="1" x14ac:dyDescent="0.25">
      <c r="A283" s="29" t="s">
        <v>300</v>
      </c>
      <c r="B283" s="20" t="s">
        <v>1013</v>
      </c>
      <c r="C283" s="40" t="s">
        <v>280</v>
      </c>
      <c r="D283" s="40" t="s">
        <v>134</v>
      </c>
      <c r="E283" s="40"/>
      <c r="F283" s="40"/>
      <c r="G283" s="10">
        <f t="shared" ref="G283:H284" si="160">G284</f>
        <v>0</v>
      </c>
      <c r="H283" s="335">
        <f t="shared" si="160"/>
        <v>0</v>
      </c>
      <c r="I283" s="6" t="e">
        <f t="shared" si="154"/>
        <v>#DIV/0!</v>
      </c>
    </row>
    <row r="284" spans="1:9" ht="31.7" hidden="1" customHeight="1" x14ac:dyDescent="0.25">
      <c r="A284" s="29" t="s">
        <v>288</v>
      </c>
      <c r="B284" s="20" t="s">
        <v>1013</v>
      </c>
      <c r="C284" s="40" t="s">
        <v>280</v>
      </c>
      <c r="D284" s="40" t="s">
        <v>134</v>
      </c>
      <c r="E284" s="40" t="s">
        <v>289</v>
      </c>
      <c r="F284" s="40"/>
      <c r="G284" s="10">
        <f t="shared" si="160"/>
        <v>0</v>
      </c>
      <c r="H284" s="335">
        <f t="shared" si="160"/>
        <v>0</v>
      </c>
      <c r="I284" s="6" t="e">
        <f t="shared" si="154"/>
        <v>#DIV/0!</v>
      </c>
    </row>
    <row r="285" spans="1:9" ht="15.75" hidden="1" customHeight="1" x14ac:dyDescent="0.25">
      <c r="A285" s="29" t="s">
        <v>290</v>
      </c>
      <c r="B285" s="20" t="s">
        <v>1013</v>
      </c>
      <c r="C285" s="40" t="s">
        <v>280</v>
      </c>
      <c r="D285" s="40" t="s">
        <v>134</v>
      </c>
      <c r="E285" s="40" t="s">
        <v>291</v>
      </c>
      <c r="F285" s="40"/>
      <c r="G285" s="10">
        <f>'Пр.4 ведом.20'!G593</f>
        <v>0</v>
      </c>
      <c r="H285" s="335">
        <f>'Пр.4 ведом.20'!H593</f>
        <v>0</v>
      </c>
      <c r="I285" s="6" t="e">
        <f t="shared" si="154"/>
        <v>#DIV/0!</v>
      </c>
    </row>
    <row r="286" spans="1:9" s="217" customFormat="1" ht="15.75" hidden="1" customHeight="1" x14ac:dyDescent="0.25">
      <c r="A286" s="29" t="s">
        <v>419</v>
      </c>
      <c r="B286" s="20" t="s">
        <v>1013</v>
      </c>
      <c r="C286" s="40" t="s">
        <v>280</v>
      </c>
      <c r="D286" s="40" t="s">
        <v>134</v>
      </c>
      <c r="E286" s="40" t="s">
        <v>291</v>
      </c>
      <c r="F286" s="40" t="s">
        <v>653</v>
      </c>
      <c r="G286" s="10">
        <f>G285</f>
        <v>0</v>
      </c>
      <c r="H286" s="335">
        <f t="shared" ref="H286" si="161">H285</f>
        <v>0</v>
      </c>
      <c r="I286" s="6" t="e">
        <f t="shared" si="154"/>
        <v>#DIV/0!</v>
      </c>
    </row>
    <row r="287" spans="1:9" ht="31.5" x14ac:dyDescent="0.25">
      <c r="A287" s="60" t="s">
        <v>787</v>
      </c>
      <c r="B287" s="20" t="s">
        <v>1014</v>
      </c>
      <c r="C287" s="20" t="s">
        <v>280</v>
      </c>
      <c r="D287" s="20" t="s">
        <v>134</v>
      </c>
      <c r="E287" s="20"/>
      <c r="F287" s="20"/>
      <c r="G287" s="10">
        <f t="shared" ref="G287:H288" si="162">G288</f>
        <v>2850</v>
      </c>
      <c r="H287" s="335">
        <f t="shared" si="162"/>
        <v>2800</v>
      </c>
      <c r="I287" s="6">
        <f t="shared" si="154"/>
        <v>98.245614035087712</v>
      </c>
    </row>
    <row r="288" spans="1:9" ht="31.5" x14ac:dyDescent="0.25">
      <c r="A288" s="29" t="s">
        <v>288</v>
      </c>
      <c r="B288" s="20" t="s">
        <v>1014</v>
      </c>
      <c r="C288" s="20" t="s">
        <v>280</v>
      </c>
      <c r="D288" s="20" t="s">
        <v>134</v>
      </c>
      <c r="E288" s="20" t="s">
        <v>289</v>
      </c>
      <c r="F288" s="20"/>
      <c r="G288" s="10">
        <f t="shared" si="162"/>
        <v>2850</v>
      </c>
      <c r="H288" s="335">
        <f t="shared" si="162"/>
        <v>2800</v>
      </c>
      <c r="I288" s="6">
        <f t="shared" si="154"/>
        <v>98.245614035087712</v>
      </c>
    </row>
    <row r="289" spans="1:9" ht="15.75" x14ac:dyDescent="0.25">
      <c r="A289" s="192" t="s">
        <v>290</v>
      </c>
      <c r="B289" s="20" t="s">
        <v>1014</v>
      </c>
      <c r="C289" s="20" t="s">
        <v>280</v>
      </c>
      <c r="D289" s="20" t="s">
        <v>134</v>
      </c>
      <c r="E289" s="20" t="s">
        <v>291</v>
      </c>
      <c r="F289" s="20"/>
      <c r="G289" s="10">
        <f>'Пр.4 ведом.20'!G596</f>
        <v>2850</v>
      </c>
      <c r="H289" s="335">
        <f>'Пр.4 ведом.20'!H596</f>
        <v>2800</v>
      </c>
      <c r="I289" s="6">
        <f t="shared" si="154"/>
        <v>98.245614035087712</v>
      </c>
    </row>
    <row r="290" spans="1:9" s="217" customFormat="1" ht="31.5" x14ac:dyDescent="0.25">
      <c r="A290" s="29" t="s">
        <v>419</v>
      </c>
      <c r="B290" s="20" t="s">
        <v>1014</v>
      </c>
      <c r="C290" s="40" t="s">
        <v>280</v>
      </c>
      <c r="D290" s="40" t="s">
        <v>134</v>
      </c>
      <c r="E290" s="40" t="s">
        <v>291</v>
      </c>
      <c r="F290" s="40" t="s">
        <v>653</v>
      </c>
      <c r="G290" s="10">
        <f>G289</f>
        <v>2850</v>
      </c>
      <c r="H290" s="335">
        <f t="shared" ref="H290" si="163">H289</f>
        <v>2800</v>
      </c>
      <c r="I290" s="6">
        <f t="shared" si="154"/>
        <v>98.245614035087712</v>
      </c>
    </row>
    <row r="291" spans="1:9" ht="47.25" x14ac:dyDescent="0.25">
      <c r="A291" s="60" t="s">
        <v>788</v>
      </c>
      <c r="B291" s="20" t="s">
        <v>1015</v>
      </c>
      <c r="C291" s="20" t="s">
        <v>280</v>
      </c>
      <c r="D291" s="20" t="s">
        <v>134</v>
      </c>
      <c r="E291" s="20"/>
      <c r="F291" s="20"/>
      <c r="G291" s="10">
        <f t="shared" ref="G291:H292" si="164">G292</f>
        <v>1760</v>
      </c>
      <c r="H291" s="335">
        <f t="shared" si="164"/>
        <v>620</v>
      </c>
      <c r="I291" s="6">
        <f t="shared" si="154"/>
        <v>35.227272727272727</v>
      </c>
    </row>
    <row r="292" spans="1:9" ht="31.5" x14ac:dyDescent="0.25">
      <c r="A292" s="29" t="s">
        <v>288</v>
      </c>
      <c r="B292" s="20" t="s">
        <v>1015</v>
      </c>
      <c r="C292" s="20" t="s">
        <v>280</v>
      </c>
      <c r="D292" s="20" t="s">
        <v>134</v>
      </c>
      <c r="E292" s="20" t="s">
        <v>289</v>
      </c>
      <c r="F292" s="20"/>
      <c r="G292" s="10">
        <f t="shared" si="164"/>
        <v>1760</v>
      </c>
      <c r="H292" s="335">
        <f t="shared" si="164"/>
        <v>620</v>
      </c>
      <c r="I292" s="6">
        <f t="shared" si="154"/>
        <v>35.227272727272727</v>
      </c>
    </row>
    <row r="293" spans="1:9" ht="15.75" x14ac:dyDescent="0.25">
      <c r="A293" s="192" t="s">
        <v>290</v>
      </c>
      <c r="B293" s="20" t="s">
        <v>1015</v>
      </c>
      <c r="C293" s="20" t="s">
        <v>280</v>
      </c>
      <c r="D293" s="20" t="s">
        <v>134</v>
      </c>
      <c r="E293" s="20" t="s">
        <v>291</v>
      </c>
      <c r="F293" s="20"/>
      <c r="G293" s="10">
        <f>'Пр.4 ведом.20'!G599</f>
        <v>1760</v>
      </c>
      <c r="H293" s="335">
        <f>'Пр.4 ведом.20'!H599</f>
        <v>620</v>
      </c>
      <c r="I293" s="6">
        <f t="shared" si="154"/>
        <v>35.227272727272727</v>
      </c>
    </row>
    <row r="294" spans="1:9" s="217" customFormat="1" ht="31.5" x14ac:dyDescent="0.25">
      <c r="A294" s="29" t="s">
        <v>419</v>
      </c>
      <c r="B294" s="20" t="s">
        <v>1015</v>
      </c>
      <c r="C294" s="40" t="s">
        <v>280</v>
      </c>
      <c r="D294" s="40" t="s">
        <v>134</v>
      </c>
      <c r="E294" s="40" t="s">
        <v>291</v>
      </c>
      <c r="F294" s="40" t="s">
        <v>653</v>
      </c>
      <c r="G294" s="10">
        <f>G293</f>
        <v>1760</v>
      </c>
      <c r="H294" s="335">
        <f t="shared" ref="H294" si="165">H293</f>
        <v>620</v>
      </c>
      <c r="I294" s="6">
        <f t="shared" si="154"/>
        <v>35.227272727272727</v>
      </c>
    </row>
    <row r="295" spans="1:9" s="217" customFormat="1" ht="63" x14ac:dyDescent="0.25">
      <c r="A295" s="23" t="s">
        <v>1016</v>
      </c>
      <c r="B295" s="24" t="s">
        <v>1017</v>
      </c>
      <c r="C295" s="24"/>
      <c r="D295" s="24"/>
      <c r="E295" s="24"/>
      <c r="F295" s="24"/>
      <c r="G295" s="59">
        <f>G296</f>
        <v>291.10000000000002</v>
      </c>
      <c r="H295" s="347">
        <f t="shared" ref="H295" si="166">H296</f>
        <v>0</v>
      </c>
      <c r="I295" s="4">
        <f t="shared" si="154"/>
        <v>0</v>
      </c>
    </row>
    <row r="296" spans="1:9" s="217" customFormat="1" ht="15.75" x14ac:dyDescent="0.25">
      <c r="A296" s="29" t="s">
        <v>279</v>
      </c>
      <c r="B296" s="40" t="s">
        <v>1017</v>
      </c>
      <c r="C296" s="40" t="s">
        <v>280</v>
      </c>
      <c r="D296" s="40"/>
      <c r="E296" s="40"/>
      <c r="F296" s="40"/>
      <c r="G296" s="10">
        <f t="shared" ref="G296:H296" si="167">G297</f>
        <v>291.10000000000002</v>
      </c>
      <c r="H296" s="335">
        <f t="shared" si="167"/>
        <v>0</v>
      </c>
      <c r="I296" s="6">
        <f t="shared" si="154"/>
        <v>0</v>
      </c>
    </row>
    <row r="297" spans="1:9" s="217" customFormat="1" ht="15.75" x14ac:dyDescent="0.25">
      <c r="A297" s="45" t="s">
        <v>420</v>
      </c>
      <c r="B297" s="40" t="s">
        <v>1017</v>
      </c>
      <c r="C297" s="40" t="s">
        <v>280</v>
      </c>
      <c r="D297" s="40" t="s">
        <v>134</v>
      </c>
      <c r="E297" s="40"/>
      <c r="F297" s="40"/>
      <c r="G297" s="10">
        <f>G298+G302</f>
        <v>291.10000000000002</v>
      </c>
      <c r="H297" s="335">
        <f t="shared" ref="H297" si="168">H298+H302</f>
        <v>0</v>
      </c>
      <c r="I297" s="6">
        <f t="shared" si="154"/>
        <v>0</v>
      </c>
    </row>
    <row r="298" spans="1:9" ht="130.69999999999999" customHeight="1" x14ac:dyDescent="0.25">
      <c r="A298" s="25" t="s">
        <v>1464</v>
      </c>
      <c r="B298" s="20" t="s">
        <v>1018</v>
      </c>
      <c r="C298" s="20" t="s">
        <v>280</v>
      </c>
      <c r="D298" s="20" t="s">
        <v>134</v>
      </c>
      <c r="E298" s="20"/>
      <c r="F298" s="20"/>
      <c r="G298" s="10">
        <f>G299</f>
        <v>124.4</v>
      </c>
      <c r="H298" s="335">
        <f t="shared" ref="H298:H299" si="169">H299</f>
        <v>0</v>
      </c>
      <c r="I298" s="6">
        <f t="shared" si="154"/>
        <v>0</v>
      </c>
    </row>
    <row r="299" spans="1:9" ht="31.5" x14ac:dyDescent="0.25">
      <c r="A299" s="25" t="s">
        <v>288</v>
      </c>
      <c r="B299" s="20" t="s">
        <v>1018</v>
      </c>
      <c r="C299" s="20" t="s">
        <v>280</v>
      </c>
      <c r="D299" s="20" t="s">
        <v>134</v>
      </c>
      <c r="E299" s="20" t="s">
        <v>289</v>
      </c>
      <c r="F299" s="20"/>
      <c r="G299" s="10">
        <f>G300</f>
        <v>124.4</v>
      </c>
      <c r="H299" s="335">
        <f t="shared" si="169"/>
        <v>0</v>
      </c>
      <c r="I299" s="6">
        <f t="shared" si="154"/>
        <v>0</v>
      </c>
    </row>
    <row r="300" spans="1:9" ht="15.75" x14ac:dyDescent="0.25">
      <c r="A300" s="25" t="s">
        <v>290</v>
      </c>
      <c r="B300" s="20" t="s">
        <v>1018</v>
      </c>
      <c r="C300" s="20" t="s">
        <v>280</v>
      </c>
      <c r="D300" s="20" t="s">
        <v>134</v>
      </c>
      <c r="E300" s="20" t="s">
        <v>291</v>
      </c>
      <c r="F300" s="20"/>
      <c r="G300" s="10">
        <f>'Пр.4 ведом.20'!G603</f>
        <v>124.4</v>
      </c>
      <c r="H300" s="335">
        <f>'Пр.4 ведом.20'!H603</f>
        <v>0</v>
      </c>
      <c r="I300" s="6">
        <f t="shared" si="154"/>
        <v>0</v>
      </c>
    </row>
    <row r="301" spans="1:9" s="217" customFormat="1" ht="31.5" x14ac:dyDescent="0.25">
      <c r="A301" s="29" t="s">
        <v>419</v>
      </c>
      <c r="B301" s="20" t="s">
        <v>1018</v>
      </c>
      <c r="C301" s="40" t="s">
        <v>280</v>
      </c>
      <c r="D301" s="40" t="s">
        <v>134</v>
      </c>
      <c r="E301" s="40" t="s">
        <v>291</v>
      </c>
      <c r="F301" s="40" t="s">
        <v>653</v>
      </c>
      <c r="G301" s="10">
        <f>G300</f>
        <v>124.4</v>
      </c>
      <c r="H301" s="335">
        <f t="shared" ref="H301" si="170">H300</f>
        <v>0</v>
      </c>
      <c r="I301" s="6">
        <f t="shared" si="154"/>
        <v>0</v>
      </c>
    </row>
    <row r="302" spans="1:9" s="217" customFormat="1" ht="126" x14ac:dyDescent="0.25">
      <c r="A302" s="25" t="s">
        <v>439</v>
      </c>
      <c r="B302" s="20" t="s">
        <v>1019</v>
      </c>
      <c r="C302" s="20" t="s">
        <v>280</v>
      </c>
      <c r="D302" s="20" t="s">
        <v>134</v>
      </c>
      <c r="E302" s="20"/>
      <c r="F302" s="20"/>
      <c r="G302" s="10">
        <f>G303</f>
        <v>166.7</v>
      </c>
      <c r="H302" s="335">
        <f t="shared" ref="H302:H303" si="171">H303</f>
        <v>0</v>
      </c>
      <c r="I302" s="6">
        <f t="shared" si="154"/>
        <v>0</v>
      </c>
    </row>
    <row r="303" spans="1:9" s="217" customFormat="1" ht="31.5" x14ac:dyDescent="0.25">
      <c r="A303" s="25" t="s">
        <v>288</v>
      </c>
      <c r="B303" s="20" t="s">
        <v>1019</v>
      </c>
      <c r="C303" s="20" t="s">
        <v>280</v>
      </c>
      <c r="D303" s="20" t="s">
        <v>134</v>
      </c>
      <c r="E303" s="20" t="s">
        <v>289</v>
      </c>
      <c r="F303" s="20"/>
      <c r="G303" s="10">
        <f>G304</f>
        <v>166.7</v>
      </c>
      <c r="H303" s="335">
        <f t="shared" si="171"/>
        <v>0</v>
      </c>
      <c r="I303" s="6">
        <f t="shared" si="154"/>
        <v>0</v>
      </c>
    </row>
    <row r="304" spans="1:9" s="217" customFormat="1" ht="15.75" x14ac:dyDescent="0.25">
      <c r="A304" s="25" t="s">
        <v>290</v>
      </c>
      <c r="B304" s="20" t="s">
        <v>1019</v>
      </c>
      <c r="C304" s="20" t="s">
        <v>280</v>
      </c>
      <c r="D304" s="20" t="s">
        <v>134</v>
      </c>
      <c r="E304" s="20" t="s">
        <v>291</v>
      </c>
      <c r="F304" s="20"/>
      <c r="G304" s="10">
        <f>'Пр.3 Рд,пр, ЦС,ВР 20'!F557</f>
        <v>166.7</v>
      </c>
      <c r="H304" s="335">
        <f>'Пр.3 Рд,пр, ЦС,ВР 20'!G557</f>
        <v>0</v>
      </c>
      <c r="I304" s="6">
        <f t="shared" si="154"/>
        <v>0</v>
      </c>
    </row>
    <row r="305" spans="1:9" s="217" customFormat="1" ht="31.5" x14ac:dyDescent="0.25">
      <c r="A305" s="29" t="s">
        <v>419</v>
      </c>
      <c r="B305" s="20" t="s">
        <v>1019</v>
      </c>
      <c r="C305" s="40" t="s">
        <v>280</v>
      </c>
      <c r="D305" s="40" t="s">
        <v>134</v>
      </c>
      <c r="E305" s="40" t="s">
        <v>291</v>
      </c>
      <c r="F305" s="40" t="s">
        <v>653</v>
      </c>
      <c r="G305" s="10">
        <f>G304</f>
        <v>166.7</v>
      </c>
      <c r="H305" s="335">
        <f t="shared" ref="H305" si="172">H304</f>
        <v>0</v>
      </c>
      <c r="I305" s="6">
        <f t="shared" si="154"/>
        <v>0</v>
      </c>
    </row>
    <row r="306" spans="1:9" s="217" customFormat="1" ht="94.5" x14ac:dyDescent="0.25">
      <c r="A306" s="23" t="s">
        <v>1401</v>
      </c>
      <c r="B306" s="24" t="s">
        <v>1399</v>
      </c>
      <c r="C306" s="24"/>
      <c r="D306" s="24"/>
      <c r="E306" s="40"/>
      <c r="F306" s="40"/>
      <c r="G306" s="59">
        <f>G307</f>
        <v>1737.8999999999999</v>
      </c>
      <c r="H306" s="347">
        <f t="shared" ref="H306:H307" si="173">H307</f>
        <v>0</v>
      </c>
      <c r="I306" s="4">
        <f t="shared" si="154"/>
        <v>0</v>
      </c>
    </row>
    <row r="307" spans="1:9" s="217" customFormat="1" ht="15.75" x14ac:dyDescent="0.25">
      <c r="A307" s="29" t="s">
        <v>279</v>
      </c>
      <c r="B307" s="20" t="s">
        <v>1399</v>
      </c>
      <c r="C307" s="20" t="s">
        <v>280</v>
      </c>
      <c r="D307" s="20"/>
      <c r="E307" s="40"/>
      <c r="F307" s="40"/>
      <c r="G307" s="10">
        <f>G308</f>
        <v>1737.8999999999999</v>
      </c>
      <c r="H307" s="335">
        <f t="shared" si="173"/>
        <v>0</v>
      </c>
      <c r="I307" s="6">
        <f t="shared" si="154"/>
        <v>0</v>
      </c>
    </row>
    <row r="308" spans="1:9" s="217" customFormat="1" ht="15.75" x14ac:dyDescent="0.25">
      <c r="A308" s="45" t="s">
        <v>420</v>
      </c>
      <c r="B308" s="20" t="s">
        <v>1399</v>
      </c>
      <c r="C308" s="20" t="s">
        <v>280</v>
      </c>
      <c r="D308" s="20" t="s">
        <v>134</v>
      </c>
      <c r="E308" s="40"/>
      <c r="F308" s="40"/>
      <c r="G308" s="10">
        <f>G309+G313</f>
        <v>1737.8999999999999</v>
      </c>
      <c r="H308" s="335">
        <f t="shared" ref="H308" si="174">H309+H313</f>
        <v>0</v>
      </c>
      <c r="I308" s="6">
        <f t="shared" si="154"/>
        <v>0</v>
      </c>
    </row>
    <row r="309" spans="1:9" s="217" customFormat="1" ht="88.5" customHeight="1" x14ac:dyDescent="0.25">
      <c r="A309" s="151" t="s">
        <v>1465</v>
      </c>
      <c r="B309" s="20" t="s">
        <v>1403</v>
      </c>
      <c r="C309" s="20" t="s">
        <v>280</v>
      </c>
      <c r="D309" s="20" t="s">
        <v>134</v>
      </c>
      <c r="E309" s="40"/>
      <c r="F309" s="40"/>
      <c r="G309" s="10">
        <f>G310</f>
        <v>71.3</v>
      </c>
      <c r="H309" s="335">
        <f t="shared" ref="H309:H310" si="175">H310</f>
        <v>0</v>
      </c>
      <c r="I309" s="6">
        <f t="shared" si="154"/>
        <v>0</v>
      </c>
    </row>
    <row r="310" spans="1:9" s="217" customFormat="1" ht="31.5" x14ac:dyDescent="0.25">
      <c r="A310" s="25" t="s">
        <v>288</v>
      </c>
      <c r="B310" s="20" t="s">
        <v>1403</v>
      </c>
      <c r="C310" s="20" t="s">
        <v>280</v>
      </c>
      <c r="D310" s="20" t="s">
        <v>134</v>
      </c>
      <c r="E310" s="20" t="s">
        <v>289</v>
      </c>
      <c r="F310" s="40"/>
      <c r="G310" s="10">
        <f>G311</f>
        <v>71.3</v>
      </c>
      <c r="H310" s="335">
        <f t="shared" si="175"/>
        <v>0</v>
      </c>
      <c r="I310" s="6">
        <f t="shared" si="154"/>
        <v>0</v>
      </c>
    </row>
    <row r="311" spans="1:9" s="217" customFormat="1" ht="15.75" x14ac:dyDescent="0.25">
      <c r="A311" s="25" t="s">
        <v>290</v>
      </c>
      <c r="B311" s="20" t="s">
        <v>1403</v>
      </c>
      <c r="C311" s="20" t="s">
        <v>280</v>
      </c>
      <c r="D311" s="20" t="s">
        <v>134</v>
      </c>
      <c r="E311" s="20" t="s">
        <v>291</v>
      </c>
      <c r="F311" s="40"/>
      <c r="G311" s="10">
        <f>'Пр.4 ведом.20'!G610</f>
        <v>71.3</v>
      </c>
      <c r="H311" s="335">
        <f>'Пр.4 ведом.20'!H610</f>
        <v>0</v>
      </c>
      <c r="I311" s="6">
        <f t="shared" si="154"/>
        <v>0</v>
      </c>
    </row>
    <row r="312" spans="1:9" s="217" customFormat="1" ht="31.5" x14ac:dyDescent="0.25">
      <c r="A312" s="29" t="s">
        <v>419</v>
      </c>
      <c r="B312" s="20" t="s">
        <v>1403</v>
      </c>
      <c r="C312" s="20" t="s">
        <v>280</v>
      </c>
      <c r="D312" s="20" t="s">
        <v>134</v>
      </c>
      <c r="E312" s="20" t="s">
        <v>291</v>
      </c>
      <c r="F312" s="40" t="s">
        <v>653</v>
      </c>
      <c r="G312" s="10">
        <f>G307</f>
        <v>1737.8999999999999</v>
      </c>
      <c r="H312" s="335">
        <f t="shared" ref="H312" si="176">H307</f>
        <v>0</v>
      </c>
      <c r="I312" s="6">
        <f t="shared" si="154"/>
        <v>0</v>
      </c>
    </row>
    <row r="313" spans="1:9" s="217" customFormat="1" ht="94.5" x14ac:dyDescent="0.25">
      <c r="A313" s="151" t="s">
        <v>1400</v>
      </c>
      <c r="B313" s="20" t="s">
        <v>1402</v>
      </c>
      <c r="C313" s="20" t="s">
        <v>280</v>
      </c>
      <c r="D313" s="20" t="s">
        <v>134</v>
      </c>
      <c r="E313" s="20"/>
      <c r="F313" s="40"/>
      <c r="G313" s="10">
        <f>G314</f>
        <v>1666.6</v>
      </c>
      <c r="H313" s="335">
        <f t="shared" ref="H313:H314" si="177">H314</f>
        <v>0</v>
      </c>
      <c r="I313" s="6">
        <f t="shared" si="154"/>
        <v>0</v>
      </c>
    </row>
    <row r="314" spans="1:9" s="217" customFormat="1" ht="31.5" x14ac:dyDescent="0.25">
      <c r="A314" s="25" t="s">
        <v>288</v>
      </c>
      <c r="B314" s="20" t="s">
        <v>1402</v>
      </c>
      <c r="C314" s="20" t="s">
        <v>280</v>
      </c>
      <c r="D314" s="20" t="s">
        <v>134</v>
      </c>
      <c r="E314" s="20" t="s">
        <v>289</v>
      </c>
      <c r="F314" s="40"/>
      <c r="G314" s="10">
        <f>G315</f>
        <v>1666.6</v>
      </c>
      <c r="H314" s="335">
        <f t="shared" si="177"/>
        <v>0</v>
      </c>
      <c r="I314" s="6">
        <f t="shared" si="154"/>
        <v>0</v>
      </c>
    </row>
    <row r="315" spans="1:9" s="217" customFormat="1" ht="15.75" x14ac:dyDescent="0.25">
      <c r="A315" s="25" t="s">
        <v>290</v>
      </c>
      <c r="B315" s="20" t="s">
        <v>1402</v>
      </c>
      <c r="C315" s="20" t="s">
        <v>280</v>
      </c>
      <c r="D315" s="20" t="s">
        <v>134</v>
      </c>
      <c r="E315" s="20" t="s">
        <v>291</v>
      </c>
      <c r="F315" s="40"/>
      <c r="G315" s="10">
        <f>'Пр.4 ведом.20'!G613</f>
        <v>1666.6</v>
      </c>
      <c r="H315" s="335">
        <f>'Пр.4 ведом.20'!H613</f>
        <v>0</v>
      </c>
      <c r="I315" s="6">
        <f t="shared" si="154"/>
        <v>0</v>
      </c>
    </row>
    <row r="316" spans="1:9" s="217" customFormat="1" ht="31.5" x14ac:dyDescent="0.25">
      <c r="A316" s="29" t="s">
        <v>419</v>
      </c>
      <c r="B316" s="20" t="s">
        <v>1402</v>
      </c>
      <c r="C316" s="20" t="s">
        <v>280</v>
      </c>
      <c r="D316" s="20" t="s">
        <v>134</v>
      </c>
      <c r="E316" s="20" t="s">
        <v>291</v>
      </c>
      <c r="F316" s="40" t="s">
        <v>653</v>
      </c>
      <c r="G316" s="10">
        <f>G313</f>
        <v>1666.6</v>
      </c>
      <c r="H316" s="335">
        <f t="shared" ref="H316" si="178">H313</f>
        <v>0</v>
      </c>
      <c r="I316" s="6">
        <f t="shared" si="154"/>
        <v>0</v>
      </c>
    </row>
    <row r="317" spans="1:9" ht="31.5" x14ac:dyDescent="0.25">
      <c r="A317" s="41" t="s">
        <v>446</v>
      </c>
      <c r="B317" s="7" t="s">
        <v>447</v>
      </c>
      <c r="C317" s="7"/>
      <c r="D317" s="7"/>
      <c r="E317" s="7"/>
      <c r="F317" s="7"/>
      <c r="G317" s="4">
        <f>G318+G337+G348+G359+G370+G381</f>
        <v>10530.888999999999</v>
      </c>
      <c r="H317" s="4">
        <f t="shared" ref="H317" si="179">H318+H337+H348+H359+H370+H381</f>
        <v>3624.0699999999997</v>
      </c>
      <c r="I317" s="4">
        <f t="shared" si="154"/>
        <v>34.413713789975375</v>
      </c>
    </row>
    <row r="318" spans="1:9" s="217" customFormat="1" ht="31.5" x14ac:dyDescent="0.25">
      <c r="A318" s="23" t="s">
        <v>1029</v>
      </c>
      <c r="B318" s="24" t="s">
        <v>1030</v>
      </c>
      <c r="C318" s="7"/>
      <c r="D318" s="7"/>
      <c r="E318" s="7"/>
      <c r="F318" s="7"/>
      <c r="G318" s="4">
        <f>G319</f>
        <v>749.33</v>
      </c>
      <c r="H318" s="4">
        <f t="shared" ref="H318" si="180">H319</f>
        <v>585.79999999999995</v>
      </c>
      <c r="I318" s="4">
        <f t="shared" si="154"/>
        <v>78.176504343880524</v>
      </c>
    </row>
    <row r="319" spans="1:9" ht="15.75" x14ac:dyDescent="0.25">
      <c r="A319" s="29" t="s">
        <v>279</v>
      </c>
      <c r="B319" s="40" t="s">
        <v>1030</v>
      </c>
      <c r="C319" s="40" t="s">
        <v>280</v>
      </c>
      <c r="D319" s="40"/>
      <c r="E319" s="40"/>
      <c r="F319" s="40"/>
      <c r="G319" s="10">
        <f t="shared" ref="G319:H319" si="181">G320</f>
        <v>749.33</v>
      </c>
      <c r="H319" s="335">
        <f t="shared" si="181"/>
        <v>585.79999999999995</v>
      </c>
      <c r="I319" s="6">
        <f t="shared" si="154"/>
        <v>78.176504343880524</v>
      </c>
    </row>
    <row r="320" spans="1:9" ht="15.75" x14ac:dyDescent="0.25">
      <c r="A320" s="29" t="s">
        <v>441</v>
      </c>
      <c r="B320" s="40" t="s">
        <v>1030</v>
      </c>
      <c r="C320" s="40" t="s">
        <v>280</v>
      </c>
      <c r="D320" s="40" t="s">
        <v>229</v>
      </c>
      <c r="E320" s="40"/>
      <c r="F320" s="40"/>
      <c r="G320" s="10">
        <f>G321+G325+G329+G333</f>
        <v>749.33</v>
      </c>
      <c r="H320" s="335">
        <f t="shared" ref="H320" si="182">H321+H325+H329+H333</f>
        <v>585.79999999999995</v>
      </c>
      <c r="I320" s="6">
        <f t="shared" si="154"/>
        <v>78.176504343880524</v>
      </c>
    </row>
    <row r="321" spans="1:9" ht="47.25" hidden="1" x14ac:dyDescent="0.25">
      <c r="A321" s="25" t="s">
        <v>813</v>
      </c>
      <c r="B321" s="20" t="s">
        <v>1034</v>
      </c>
      <c r="C321" s="40" t="s">
        <v>280</v>
      </c>
      <c r="D321" s="40" t="s">
        <v>229</v>
      </c>
      <c r="E321" s="40"/>
      <c r="F321" s="40"/>
      <c r="G321" s="6">
        <f>G322</f>
        <v>0</v>
      </c>
      <c r="H321" s="6">
        <f t="shared" ref="H321:H322" si="183">H322</f>
        <v>0</v>
      </c>
      <c r="I321" s="6" t="e">
        <f t="shared" si="154"/>
        <v>#DIV/0!</v>
      </c>
    </row>
    <row r="322" spans="1:9" ht="31.5" hidden="1" x14ac:dyDescent="0.25">
      <c r="A322" s="25" t="s">
        <v>288</v>
      </c>
      <c r="B322" s="20" t="s">
        <v>1034</v>
      </c>
      <c r="C322" s="40" t="s">
        <v>280</v>
      </c>
      <c r="D322" s="40" t="s">
        <v>229</v>
      </c>
      <c r="E322" s="40" t="s">
        <v>289</v>
      </c>
      <c r="F322" s="40"/>
      <c r="G322" s="6">
        <f>G323</f>
        <v>0</v>
      </c>
      <c r="H322" s="6">
        <f t="shared" si="183"/>
        <v>0</v>
      </c>
      <c r="I322" s="6" t="e">
        <f t="shared" si="154"/>
        <v>#DIV/0!</v>
      </c>
    </row>
    <row r="323" spans="1:9" ht="15.75" hidden="1" x14ac:dyDescent="0.25">
      <c r="A323" s="25" t="s">
        <v>290</v>
      </c>
      <c r="B323" s="20" t="s">
        <v>1034</v>
      </c>
      <c r="C323" s="40" t="s">
        <v>280</v>
      </c>
      <c r="D323" s="40" t="s">
        <v>229</v>
      </c>
      <c r="E323" s="40" t="s">
        <v>291</v>
      </c>
      <c r="F323" s="40"/>
      <c r="G323" s="6">
        <f>'Пр.4 ведом.20'!G663</f>
        <v>0</v>
      </c>
      <c r="H323" s="6">
        <f>'Пр.4 ведом.20'!H663</f>
        <v>0</v>
      </c>
      <c r="I323" s="6" t="e">
        <f t="shared" si="154"/>
        <v>#DIV/0!</v>
      </c>
    </row>
    <row r="324" spans="1:9" s="217" customFormat="1" ht="31.5" hidden="1" x14ac:dyDescent="0.25">
      <c r="A324" s="29" t="s">
        <v>419</v>
      </c>
      <c r="B324" s="20" t="s">
        <v>1034</v>
      </c>
      <c r="C324" s="40" t="s">
        <v>280</v>
      </c>
      <c r="D324" s="40" t="s">
        <v>229</v>
      </c>
      <c r="E324" s="40" t="s">
        <v>291</v>
      </c>
      <c r="F324" s="40" t="s">
        <v>653</v>
      </c>
      <c r="G324" s="10">
        <f>G323</f>
        <v>0</v>
      </c>
      <c r="H324" s="335">
        <f t="shared" ref="H324" si="184">H323</f>
        <v>0</v>
      </c>
      <c r="I324" s="6" t="e">
        <f t="shared" si="154"/>
        <v>#DIV/0!</v>
      </c>
    </row>
    <row r="325" spans="1:9" ht="31.5" hidden="1" x14ac:dyDescent="0.25">
      <c r="A325" s="25" t="s">
        <v>294</v>
      </c>
      <c r="B325" s="20" t="s">
        <v>1035</v>
      </c>
      <c r="C325" s="40" t="s">
        <v>280</v>
      </c>
      <c r="D325" s="40" t="s">
        <v>229</v>
      </c>
      <c r="E325" s="40"/>
      <c r="F325" s="40"/>
      <c r="G325" s="6">
        <f t="shared" ref="G325:H326" si="185">G326</f>
        <v>0</v>
      </c>
      <c r="H325" s="6">
        <f t="shared" si="185"/>
        <v>0</v>
      </c>
      <c r="I325" s="6" t="e">
        <f t="shared" si="154"/>
        <v>#DIV/0!</v>
      </c>
    </row>
    <row r="326" spans="1:9" ht="31.5" hidden="1" x14ac:dyDescent="0.25">
      <c r="A326" s="25" t="s">
        <v>288</v>
      </c>
      <c r="B326" s="20" t="s">
        <v>1035</v>
      </c>
      <c r="C326" s="40" t="s">
        <v>280</v>
      </c>
      <c r="D326" s="40" t="s">
        <v>229</v>
      </c>
      <c r="E326" s="40" t="s">
        <v>289</v>
      </c>
      <c r="F326" s="40"/>
      <c r="G326" s="6">
        <f t="shared" si="185"/>
        <v>0</v>
      </c>
      <c r="H326" s="6">
        <f t="shared" si="185"/>
        <v>0</v>
      </c>
      <c r="I326" s="6" t="e">
        <f t="shared" si="154"/>
        <v>#DIV/0!</v>
      </c>
    </row>
    <row r="327" spans="1:9" ht="15.75" hidden="1" x14ac:dyDescent="0.25">
      <c r="A327" s="25" t="s">
        <v>290</v>
      </c>
      <c r="B327" s="20" t="s">
        <v>1035</v>
      </c>
      <c r="C327" s="40" t="s">
        <v>280</v>
      </c>
      <c r="D327" s="40" t="s">
        <v>229</v>
      </c>
      <c r="E327" s="40" t="s">
        <v>291</v>
      </c>
      <c r="F327" s="40"/>
      <c r="G327" s="6">
        <f>'Пр.4 ведом.20'!G666</f>
        <v>0</v>
      </c>
      <c r="H327" s="6">
        <f>'Пр.4 ведом.20'!H666</f>
        <v>0</v>
      </c>
      <c r="I327" s="6" t="e">
        <f t="shared" si="154"/>
        <v>#DIV/0!</v>
      </c>
    </row>
    <row r="328" spans="1:9" s="217" customFormat="1" ht="31.5" hidden="1" x14ac:dyDescent="0.25">
      <c r="A328" s="29" t="s">
        <v>419</v>
      </c>
      <c r="B328" s="20" t="s">
        <v>1035</v>
      </c>
      <c r="C328" s="40" t="s">
        <v>280</v>
      </c>
      <c r="D328" s="40" t="s">
        <v>229</v>
      </c>
      <c r="E328" s="40" t="s">
        <v>291</v>
      </c>
      <c r="F328" s="40" t="s">
        <v>653</v>
      </c>
      <c r="G328" s="10">
        <f>G327</f>
        <v>0</v>
      </c>
      <c r="H328" s="335">
        <f t="shared" ref="H328" si="186">H327</f>
        <v>0</v>
      </c>
      <c r="I328" s="6" t="e">
        <f t="shared" si="154"/>
        <v>#DIV/0!</v>
      </c>
    </row>
    <row r="329" spans="1:9" ht="31.7" customHeight="1" x14ac:dyDescent="0.25">
      <c r="A329" s="25" t="s">
        <v>296</v>
      </c>
      <c r="B329" s="20" t="s">
        <v>1036</v>
      </c>
      <c r="C329" s="40" t="s">
        <v>280</v>
      </c>
      <c r="D329" s="40" t="s">
        <v>229</v>
      </c>
      <c r="E329" s="40"/>
      <c r="F329" s="40"/>
      <c r="G329" s="6">
        <f t="shared" ref="G329:H330" si="187">G330</f>
        <v>525.33000000000004</v>
      </c>
      <c r="H329" s="6">
        <f t="shared" si="187"/>
        <v>464</v>
      </c>
      <c r="I329" s="6">
        <f t="shared" si="154"/>
        <v>88.325433537014817</v>
      </c>
    </row>
    <row r="330" spans="1:9" ht="31.7" customHeight="1" x14ac:dyDescent="0.25">
      <c r="A330" s="25" t="s">
        <v>288</v>
      </c>
      <c r="B330" s="20" t="s">
        <v>1036</v>
      </c>
      <c r="C330" s="40" t="s">
        <v>280</v>
      </c>
      <c r="D330" s="40" t="s">
        <v>229</v>
      </c>
      <c r="E330" s="40" t="s">
        <v>289</v>
      </c>
      <c r="F330" s="40"/>
      <c r="G330" s="6">
        <f t="shared" si="187"/>
        <v>525.33000000000004</v>
      </c>
      <c r="H330" s="6">
        <f t="shared" si="187"/>
        <v>464</v>
      </c>
      <c r="I330" s="6">
        <f t="shared" si="154"/>
        <v>88.325433537014817</v>
      </c>
    </row>
    <row r="331" spans="1:9" ht="15.75" customHeight="1" x14ac:dyDescent="0.25">
      <c r="A331" s="25" t="s">
        <v>290</v>
      </c>
      <c r="B331" s="20" t="s">
        <v>1036</v>
      </c>
      <c r="C331" s="40" t="s">
        <v>280</v>
      </c>
      <c r="D331" s="40" t="s">
        <v>229</v>
      </c>
      <c r="E331" s="40" t="s">
        <v>291</v>
      </c>
      <c r="F331" s="40"/>
      <c r="G331" s="6">
        <f>'Пр.4 ведом.20'!G669</f>
        <v>525.33000000000004</v>
      </c>
      <c r="H331" s="6">
        <f>'Пр.4 ведом.20'!H669</f>
        <v>464</v>
      </c>
      <c r="I331" s="6">
        <f t="shared" si="154"/>
        <v>88.325433537014817</v>
      </c>
    </row>
    <row r="332" spans="1:9" s="217" customFormat="1" ht="15.75" customHeight="1" x14ac:dyDescent="0.25">
      <c r="A332" s="29" t="s">
        <v>419</v>
      </c>
      <c r="B332" s="20" t="s">
        <v>1036</v>
      </c>
      <c r="C332" s="40" t="s">
        <v>280</v>
      </c>
      <c r="D332" s="40" t="s">
        <v>229</v>
      </c>
      <c r="E332" s="40" t="s">
        <v>291</v>
      </c>
      <c r="F332" s="40" t="s">
        <v>653</v>
      </c>
      <c r="G332" s="10">
        <f>G331</f>
        <v>525.33000000000004</v>
      </c>
      <c r="H332" s="335">
        <f t="shared" ref="H332" si="188">H331</f>
        <v>464</v>
      </c>
      <c r="I332" s="6">
        <f t="shared" si="154"/>
        <v>88.325433537014817</v>
      </c>
    </row>
    <row r="333" spans="1:9" ht="31.5" x14ac:dyDescent="0.25">
      <c r="A333" s="29" t="s">
        <v>298</v>
      </c>
      <c r="B333" s="20" t="s">
        <v>1037</v>
      </c>
      <c r="C333" s="40" t="s">
        <v>280</v>
      </c>
      <c r="D333" s="40" t="s">
        <v>229</v>
      </c>
      <c r="E333" s="40"/>
      <c r="F333" s="40"/>
      <c r="G333" s="10">
        <f t="shared" ref="G333:H334" si="189">G334</f>
        <v>224</v>
      </c>
      <c r="H333" s="335">
        <f t="shared" si="189"/>
        <v>121.8</v>
      </c>
      <c r="I333" s="6">
        <f t="shared" si="154"/>
        <v>54.374999999999993</v>
      </c>
    </row>
    <row r="334" spans="1:9" ht="31.5" x14ac:dyDescent="0.25">
      <c r="A334" s="29" t="s">
        <v>288</v>
      </c>
      <c r="B334" s="20" t="s">
        <v>1037</v>
      </c>
      <c r="C334" s="40" t="s">
        <v>280</v>
      </c>
      <c r="D334" s="40" t="s">
        <v>229</v>
      </c>
      <c r="E334" s="40" t="s">
        <v>289</v>
      </c>
      <c r="F334" s="40"/>
      <c r="G334" s="10">
        <f t="shared" si="189"/>
        <v>224</v>
      </c>
      <c r="H334" s="335">
        <f t="shared" si="189"/>
        <v>121.8</v>
      </c>
      <c r="I334" s="6">
        <f t="shared" si="154"/>
        <v>54.374999999999993</v>
      </c>
    </row>
    <row r="335" spans="1:9" ht="21.75" customHeight="1" x14ac:dyDescent="0.25">
      <c r="A335" s="29" t="s">
        <v>290</v>
      </c>
      <c r="B335" s="20" t="s">
        <v>1037</v>
      </c>
      <c r="C335" s="40" t="s">
        <v>280</v>
      </c>
      <c r="D335" s="40" t="s">
        <v>229</v>
      </c>
      <c r="E335" s="40" t="s">
        <v>291</v>
      </c>
      <c r="F335" s="40"/>
      <c r="G335" s="10">
        <f>'Пр.4 ведом.20'!G672</f>
        <v>224</v>
      </c>
      <c r="H335" s="335">
        <f>'Пр.4 ведом.20'!H672</f>
        <v>121.8</v>
      </c>
      <c r="I335" s="6">
        <f t="shared" si="154"/>
        <v>54.374999999999993</v>
      </c>
    </row>
    <row r="336" spans="1:9" s="217" customFormat="1" ht="33" customHeight="1" x14ac:dyDescent="0.25">
      <c r="A336" s="29" t="s">
        <v>419</v>
      </c>
      <c r="B336" s="20" t="s">
        <v>1037</v>
      </c>
      <c r="C336" s="40" t="s">
        <v>280</v>
      </c>
      <c r="D336" s="40" t="s">
        <v>229</v>
      </c>
      <c r="E336" s="40" t="s">
        <v>291</v>
      </c>
      <c r="F336" s="40" t="s">
        <v>653</v>
      </c>
      <c r="G336" s="10">
        <f>G335</f>
        <v>224</v>
      </c>
      <c r="H336" s="335">
        <f t="shared" ref="H336" si="190">H335</f>
        <v>121.8</v>
      </c>
      <c r="I336" s="6">
        <f t="shared" si="154"/>
        <v>54.374999999999993</v>
      </c>
    </row>
    <row r="337" spans="1:9" s="217" customFormat="1" ht="33" customHeight="1" x14ac:dyDescent="0.25">
      <c r="A337" s="23" t="s">
        <v>1031</v>
      </c>
      <c r="B337" s="24" t="s">
        <v>1032</v>
      </c>
      <c r="C337" s="7"/>
      <c r="D337" s="7"/>
      <c r="E337" s="7"/>
      <c r="F337" s="7"/>
      <c r="G337" s="59">
        <f>G340+G344</f>
        <v>3865.2</v>
      </c>
      <c r="H337" s="347">
        <f t="shared" ref="H337" si="191">H340+H344</f>
        <v>129.88</v>
      </c>
      <c r="I337" s="4">
        <f t="shared" si="154"/>
        <v>3.3602400910690262</v>
      </c>
    </row>
    <row r="338" spans="1:9" s="217" customFormat="1" ht="17.45" customHeight="1" x14ac:dyDescent="0.25">
      <c r="A338" s="29" t="s">
        <v>279</v>
      </c>
      <c r="B338" s="40" t="s">
        <v>1032</v>
      </c>
      <c r="C338" s="40" t="s">
        <v>280</v>
      </c>
      <c r="D338" s="40"/>
      <c r="E338" s="40"/>
      <c r="F338" s="40"/>
      <c r="G338" s="10">
        <f t="shared" ref="G338:H338" si="192">G339</f>
        <v>3865.2</v>
      </c>
      <c r="H338" s="335">
        <f t="shared" si="192"/>
        <v>129.88</v>
      </c>
      <c r="I338" s="6">
        <f t="shared" si="154"/>
        <v>3.3602400910690262</v>
      </c>
    </row>
    <row r="339" spans="1:9" s="217" customFormat="1" ht="15.75" customHeight="1" x14ac:dyDescent="0.25">
      <c r="A339" s="29" t="s">
        <v>441</v>
      </c>
      <c r="B339" s="40" t="s">
        <v>1032</v>
      </c>
      <c r="C339" s="40" t="s">
        <v>280</v>
      </c>
      <c r="D339" s="40" t="s">
        <v>229</v>
      </c>
      <c r="E339" s="40"/>
      <c r="F339" s="40"/>
      <c r="G339" s="10">
        <f>G340+G344</f>
        <v>3865.2</v>
      </c>
      <c r="H339" s="335">
        <f t="shared" ref="H339" si="193">H340+H344</f>
        <v>129.88</v>
      </c>
      <c r="I339" s="6">
        <f t="shared" ref="I339:I402" si="194">H339/G339*100</f>
        <v>3.3602400910690262</v>
      </c>
    </row>
    <row r="340" spans="1:9" s="217" customFormat="1" ht="47.25" customHeight="1" x14ac:dyDescent="0.25">
      <c r="A340" s="29" t="s">
        <v>619</v>
      </c>
      <c r="B340" s="20" t="s">
        <v>1038</v>
      </c>
      <c r="C340" s="40" t="s">
        <v>280</v>
      </c>
      <c r="D340" s="40" t="s">
        <v>229</v>
      </c>
      <c r="E340" s="40"/>
      <c r="F340" s="40"/>
      <c r="G340" s="10">
        <f t="shared" ref="G340:H341" si="195">G341</f>
        <v>2200</v>
      </c>
      <c r="H340" s="335">
        <f t="shared" si="195"/>
        <v>92.68</v>
      </c>
      <c r="I340" s="6">
        <f t="shared" si="194"/>
        <v>4.2127272727272729</v>
      </c>
    </row>
    <row r="341" spans="1:9" s="217" customFormat="1" ht="36.75" customHeight="1" x14ac:dyDescent="0.25">
      <c r="A341" s="29" t="s">
        <v>288</v>
      </c>
      <c r="B341" s="20" t="s">
        <v>1038</v>
      </c>
      <c r="C341" s="40" t="s">
        <v>280</v>
      </c>
      <c r="D341" s="40" t="s">
        <v>229</v>
      </c>
      <c r="E341" s="40" t="s">
        <v>289</v>
      </c>
      <c r="F341" s="40"/>
      <c r="G341" s="10">
        <f t="shared" si="195"/>
        <v>2200</v>
      </c>
      <c r="H341" s="335">
        <f t="shared" si="195"/>
        <v>92.68</v>
      </c>
      <c r="I341" s="6">
        <f t="shared" si="194"/>
        <v>4.2127272727272729</v>
      </c>
    </row>
    <row r="342" spans="1:9" s="217" customFormat="1" ht="18" customHeight="1" x14ac:dyDescent="0.25">
      <c r="A342" s="29" t="s">
        <v>290</v>
      </c>
      <c r="B342" s="20" t="s">
        <v>1038</v>
      </c>
      <c r="C342" s="40" t="s">
        <v>280</v>
      </c>
      <c r="D342" s="40" t="s">
        <v>229</v>
      </c>
      <c r="E342" s="40" t="s">
        <v>291</v>
      </c>
      <c r="F342" s="40"/>
      <c r="G342" s="6">
        <f>'Пр.4 ведом.20'!G676</f>
        <v>2200</v>
      </c>
      <c r="H342" s="6">
        <f>'Пр.4 ведом.20'!H676</f>
        <v>92.68</v>
      </c>
      <c r="I342" s="6">
        <f t="shared" si="194"/>
        <v>4.2127272727272729</v>
      </c>
    </row>
    <row r="343" spans="1:9" s="217" customFormat="1" ht="36.75" customHeight="1" x14ac:dyDescent="0.25">
      <c r="A343" s="29" t="s">
        <v>419</v>
      </c>
      <c r="B343" s="20" t="s">
        <v>1038</v>
      </c>
      <c r="C343" s="40" t="s">
        <v>280</v>
      </c>
      <c r="D343" s="40" t="s">
        <v>229</v>
      </c>
      <c r="E343" s="40" t="s">
        <v>291</v>
      </c>
      <c r="F343" s="40" t="s">
        <v>653</v>
      </c>
      <c r="G343" s="10">
        <f>G342</f>
        <v>2200</v>
      </c>
      <c r="H343" s="335">
        <f t="shared" ref="H343" si="196">H342</f>
        <v>92.68</v>
      </c>
      <c r="I343" s="6">
        <f t="shared" si="194"/>
        <v>4.2127272727272729</v>
      </c>
    </row>
    <row r="344" spans="1:9" s="217" customFormat="1" ht="36" customHeight="1" x14ac:dyDescent="0.25">
      <c r="A344" s="25" t="s">
        <v>472</v>
      </c>
      <c r="B344" s="20" t="s">
        <v>1039</v>
      </c>
      <c r="C344" s="40" t="s">
        <v>280</v>
      </c>
      <c r="D344" s="40" t="s">
        <v>229</v>
      </c>
      <c r="E344" s="40"/>
      <c r="F344" s="40"/>
      <c r="G344" s="10">
        <f>G345</f>
        <v>1665.2</v>
      </c>
      <c r="H344" s="335">
        <f t="shared" ref="H344:H345" si="197">H345</f>
        <v>37.200000000000003</v>
      </c>
      <c r="I344" s="6">
        <f t="shared" si="194"/>
        <v>2.2339658899831853</v>
      </c>
    </row>
    <row r="345" spans="1:9" s="217" customFormat="1" ht="36.75" customHeight="1" x14ac:dyDescent="0.25">
      <c r="A345" s="25" t="s">
        <v>288</v>
      </c>
      <c r="B345" s="20" t="s">
        <v>1039</v>
      </c>
      <c r="C345" s="40" t="s">
        <v>280</v>
      </c>
      <c r="D345" s="40" t="s">
        <v>229</v>
      </c>
      <c r="E345" s="40" t="s">
        <v>289</v>
      </c>
      <c r="F345" s="40"/>
      <c r="G345" s="10">
        <f>G346</f>
        <v>1665.2</v>
      </c>
      <c r="H345" s="335">
        <f t="shared" si="197"/>
        <v>37.200000000000003</v>
      </c>
      <c r="I345" s="6">
        <f t="shared" si="194"/>
        <v>2.2339658899831853</v>
      </c>
    </row>
    <row r="346" spans="1:9" s="217" customFormat="1" ht="15.75" customHeight="1" x14ac:dyDescent="0.25">
      <c r="A346" s="25" t="s">
        <v>290</v>
      </c>
      <c r="B346" s="20" t="s">
        <v>1039</v>
      </c>
      <c r="C346" s="40" t="s">
        <v>280</v>
      </c>
      <c r="D346" s="40" t="s">
        <v>229</v>
      </c>
      <c r="E346" s="40" t="s">
        <v>291</v>
      </c>
      <c r="F346" s="40"/>
      <c r="G346" s="10">
        <f>'Пр.4 ведом.20'!G679</f>
        <v>1665.2</v>
      </c>
      <c r="H346" s="335">
        <f>'Пр.4 ведом.20'!H679</f>
        <v>37.200000000000003</v>
      </c>
      <c r="I346" s="6">
        <f t="shared" si="194"/>
        <v>2.2339658899831853</v>
      </c>
    </row>
    <row r="347" spans="1:9" s="217" customFormat="1" ht="38.25" customHeight="1" x14ac:dyDescent="0.25">
      <c r="A347" s="29" t="s">
        <v>419</v>
      </c>
      <c r="B347" s="20" t="s">
        <v>1039</v>
      </c>
      <c r="C347" s="40" t="s">
        <v>280</v>
      </c>
      <c r="D347" s="40" t="s">
        <v>229</v>
      </c>
      <c r="E347" s="40" t="s">
        <v>291</v>
      </c>
      <c r="F347" s="40" t="s">
        <v>653</v>
      </c>
      <c r="G347" s="10">
        <f>G346</f>
        <v>1665.2</v>
      </c>
      <c r="H347" s="335">
        <f t="shared" ref="H347" si="198">H346</f>
        <v>37.200000000000003</v>
      </c>
      <c r="I347" s="6">
        <f t="shared" si="194"/>
        <v>2.2339658899831853</v>
      </c>
    </row>
    <row r="348" spans="1:9" s="217" customFormat="1" ht="31.7" customHeight="1" x14ac:dyDescent="0.25">
      <c r="A348" s="23" t="s">
        <v>1033</v>
      </c>
      <c r="B348" s="24" t="s">
        <v>1040</v>
      </c>
      <c r="C348" s="7"/>
      <c r="D348" s="7"/>
      <c r="E348" s="7"/>
      <c r="F348" s="7"/>
      <c r="G348" s="59">
        <f>G351+G355</f>
        <v>1364.7</v>
      </c>
      <c r="H348" s="347">
        <f t="shared" ref="H348" si="199">H351+H355</f>
        <v>257.28999999999996</v>
      </c>
      <c r="I348" s="4">
        <f t="shared" si="194"/>
        <v>18.853227815637133</v>
      </c>
    </row>
    <row r="349" spans="1:9" s="217" customFormat="1" ht="18" customHeight="1" x14ac:dyDescent="0.25">
      <c r="A349" s="29" t="s">
        <v>279</v>
      </c>
      <c r="B349" s="40" t="s">
        <v>1040</v>
      </c>
      <c r="C349" s="40" t="s">
        <v>280</v>
      </c>
      <c r="D349" s="40"/>
      <c r="E349" s="40"/>
      <c r="F349" s="40"/>
      <c r="G349" s="10">
        <f t="shared" ref="G349:H349" si="200">G350</f>
        <v>1364.7</v>
      </c>
      <c r="H349" s="335">
        <f t="shared" si="200"/>
        <v>257.28999999999996</v>
      </c>
      <c r="I349" s="6">
        <f t="shared" si="194"/>
        <v>18.853227815637133</v>
      </c>
    </row>
    <row r="350" spans="1:9" s="217" customFormat="1" ht="15" customHeight="1" x14ac:dyDescent="0.25">
      <c r="A350" s="29" t="s">
        <v>441</v>
      </c>
      <c r="B350" s="40" t="s">
        <v>1040</v>
      </c>
      <c r="C350" s="40" t="s">
        <v>280</v>
      </c>
      <c r="D350" s="40" t="s">
        <v>229</v>
      </c>
      <c r="E350" s="40"/>
      <c r="F350" s="40"/>
      <c r="G350" s="10">
        <f>G351+G355</f>
        <v>1364.7</v>
      </c>
      <c r="H350" s="335">
        <f t="shared" ref="H350" si="201">H351+H355</f>
        <v>257.28999999999996</v>
      </c>
      <c r="I350" s="6">
        <f t="shared" si="194"/>
        <v>18.853227815637133</v>
      </c>
    </row>
    <row r="351" spans="1:9" s="217" customFormat="1" ht="47.25" customHeight="1" x14ac:dyDescent="0.25">
      <c r="A351" s="25" t="s">
        <v>454</v>
      </c>
      <c r="B351" s="20" t="s">
        <v>1041</v>
      </c>
      <c r="C351" s="40" t="s">
        <v>280</v>
      </c>
      <c r="D351" s="40" t="s">
        <v>229</v>
      </c>
      <c r="E351" s="40"/>
      <c r="F351" s="40"/>
      <c r="G351" s="10">
        <f>G352</f>
        <v>868</v>
      </c>
      <c r="H351" s="335">
        <f t="shared" ref="H351:H352" si="202">H352</f>
        <v>202.29</v>
      </c>
      <c r="I351" s="6">
        <f t="shared" si="194"/>
        <v>23.305299539170505</v>
      </c>
    </row>
    <row r="352" spans="1:9" s="217" customFormat="1" ht="37.5" customHeight="1" x14ac:dyDescent="0.25">
      <c r="A352" s="25" t="s">
        <v>288</v>
      </c>
      <c r="B352" s="20" t="s">
        <v>1041</v>
      </c>
      <c r="C352" s="40" t="s">
        <v>280</v>
      </c>
      <c r="D352" s="40" t="s">
        <v>229</v>
      </c>
      <c r="E352" s="40" t="s">
        <v>289</v>
      </c>
      <c r="F352" s="40"/>
      <c r="G352" s="10">
        <f>G353</f>
        <v>868</v>
      </c>
      <c r="H352" s="335">
        <f t="shared" si="202"/>
        <v>202.29</v>
      </c>
      <c r="I352" s="6">
        <f t="shared" si="194"/>
        <v>23.305299539170505</v>
      </c>
    </row>
    <row r="353" spans="1:9" s="217" customFormat="1" ht="15.75" customHeight="1" x14ac:dyDescent="0.25">
      <c r="A353" s="25" t="s">
        <v>290</v>
      </c>
      <c r="B353" s="20" t="s">
        <v>1041</v>
      </c>
      <c r="C353" s="40" t="s">
        <v>280</v>
      </c>
      <c r="D353" s="40" t="s">
        <v>229</v>
      </c>
      <c r="E353" s="40" t="s">
        <v>291</v>
      </c>
      <c r="F353" s="40"/>
      <c r="G353" s="10">
        <f>'Пр.3 Рд,пр, ЦС,ВР 20'!F634</f>
        <v>868</v>
      </c>
      <c r="H353" s="335">
        <f>'Пр.3 Рд,пр, ЦС,ВР 20'!G634</f>
        <v>202.29</v>
      </c>
      <c r="I353" s="6">
        <f t="shared" si="194"/>
        <v>23.305299539170505</v>
      </c>
    </row>
    <row r="354" spans="1:9" s="217" customFormat="1" ht="37.5" customHeight="1" x14ac:dyDescent="0.25">
      <c r="A354" s="29" t="s">
        <v>419</v>
      </c>
      <c r="B354" s="20" t="s">
        <v>1041</v>
      </c>
      <c r="C354" s="40" t="s">
        <v>280</v>
      </c>
      <c r="D354" s="40" t="s">
        <v>229</v>
      </c>
      <c r="E354" s="40" t="s">
        <v>291</v>
      </c>
      <c r="F354" s="40" t="s">
        <v>653</v>
      </c>
      <c r="G354" s="10">
        <f>G353</f>
        <v>868</v>
      </c>
      <c r="H354" s="335">
        <f t="shared" ref="H354" si="203">H353</f>
        <v>202.29</v>
      </c>
      <c r="I354" s="6">
        <f t="shared" si="194"/>
        <v>23.305299539170505</v>
      </c>
    </row>
    <row r="355" spans="1:9" s="217" customFormat="1" ht="54" customHeight="1" x14ac:dyDescent="0.25">
      <c r="A355" s="25" t="s">
        <v>474</v>
      </c>
      <c r="B355" s="20" t="s">
        <v>1042</v>
      </c>
      <c r="C355" s="40" t="s">
        <v>280</v>
      </c>
      <c r="D355" s="40" t="s">
        <v>229</v>
      </c>
      <c r="E355" s="40"/>
      <c r="F355" s="40"/>
      <c r="G355" s="10">
        <f>G356</f>
        <v>496.7</v>
      </c>
      <c r="H355" s="335">
        <f t="shared" ref="H355:H356" si="204">H356</f>
        <v>55</v>
      </c>
      <c r="I355" s="6">
        <f t="shared" si="194"/>
        <v>11.073082343466883</v>
      </c>
    </row>
    <row r="356" spans="1:9" s="217" customFormat="1" ht="36" customHeight="1" x14ac:dyDescent="0.25">
      <c r="A356" s="273" t="s">
        <v>288</v>
      </c>
      <c r="B356" s="20" t="s">
        <v>1042</v>
      </c>
      <c r="C356" s="40" t="s">
        <v>280</v>
      </c>
      <c r="D356" s="40" t="s">
        <v>229</v>
      </c>
      <c r="E356" s="40" t="s">
        <v>289</v>
      </c>
      <c r="F356" s="40"/>
      <c r="G356" s="10">
        <f>G357</f>
        <v>496.7</v>
      </c>
      <c r="H356" s="335">
        <f t="shared" si="204"/>
        <v>55</v>
      </c>
      <c r="I356" s="6">
        <f t="shared" si="194"/>
        <v>11.073082343466883</v>
      </c>
    </row>
    <row r="357" spans="1:9" s="217" customFormat="1" ht="15.75" customHeight="1" x14ac:dyDescent="0.25">
      <c r="A357" s="25" t="s">
        <v>290</v>
      </c>
      <c r="B357" s="20" t="s">
        <v>1042</v>
      </c>
      <c r="C357" s="40" t="s">
        <v>280</v>
      </c>
      <c r="D357" s="40" t="s">
        <v>229</v>
      </c>
      <c r="E357" s="40" t="s">
        <v>291</v>
      </c>
      <c r="F357" s="40"/>
      <c r="G357" s="10">
        <f>'Пр.3 Рд,пр, ЦС,ВР 20'!F637</f>
        <v>496.7</v>
      </c>
      <c r="H357" s="335">
        <f>'Пр.3 Рд,пр, ЦС,ВР 20'!G637</f>
        <v>55</v>
      </c>
      <c r="I357" s="6">
        <f t="shared" si="194"/>
        <v>11.073082343466883</v>
      </c>
    </row>
    <row r="358" spans="1:9" s="217" customFormat="1" ht="41.25" customHeight="1" x14ac:dyDescent="0.25">
      <c r="A358" s="29" t="s">
        <v>419</v>
      </c>
      <c r="B358" s="20" t="s">
        <v>1042</v>
      </c>
      <c r="C358" s="40" t="s">
        <v>280</v>
      </c>
      <c r="D358" s="40" t="s">
        <v>229</v>
      </c>
      <c r="E358" s="40" t="s">
        <v>291</v>
      </c>
      <c r="F358" s="40" t="s">
        <v>653</v>
      </c>
      <c r="G358" s="10">
        <f>G357</f>
        <v>496.7</v>
      </c>
      <c r="H358" s="335">
        <f t="shared" ref="H358" si="205">H357</f>
        <v>55</v>
      </c>
      <c r="I358" s="6">
        <f t="shared" si="194"/>
        <v>11.073082343466883</v>
      </c>
    </row>
    <row r="359" spans="1:9" s="217" customFormat="1" ht="34.5" customHeight="1" x14ac:dyDescent="0.25">
      <c r="A359" s="231" t="s">
        <v>1077</v>
      </c>
      <c r="B359" s="24" t="s">
        <v>1043</v>
      </c>
      <c r="C359" s="7"/>
      <c r="D359" s="7"/>
      <c r="E359" s="7"/>
      <c r="F359" s="7"/>
      <c r="G359" s="59">
        <f>G362+G366</f>
        <v>2634</v>
      </c>
      <c r="H359" s="347">
        <f t="shared" ref="H359" si="206">H362+H366</f>
        <v>2567</v>
      </c>
      <c r="I359" s="4">
        <f t="shared" si="194"/>
        <v>97.456340167046321</v>
      </c>
    </row>
    <row r="360" spans="1:9" s="217" customFormat="1" ht="18.75" customHeight="1" x14ac:dyDescent="0.25">
      <c r="A360" s="29" t="s">
        <v>279</v>
      </c>
      <c r="B360" s="40" t="s">
        <v>1043</v>
      </c>
      <c r="C360" s="40" t="s">
        <v>280</v>
      </c>
      <c r="D360" s="40"/>
      <c r="E360" s="40"/>
      <c r="F360" s="40"/>
      <c r="G360" s="10">
        <f t="shared" ref="G360:H360" si="207">G361</f>
        <v>2634</v>
      </c>
      <c r="H360" s="335">
        <f t="shared" si="207"/>
        <v>2567</v>
      </c>
      <c r="I360" s="6">
        <f t="shared" si="194"/>
        <v>97.456340167046321</v>
      </c>
    </row>
    <row r="361" spans="1:9" s="217" customFormat="1" ht="20.25" customHeight="1" x14ac:dyDescent="0.25">
      <c r="A361" s="29" t="s">
        <v>441</v>
      </c>
      <c r="B361" s="40" t="s">
        <v>1043</v>
      </c>
      <c r="C361" s="40" t="s">
        <v>280</v>
      </c>
      <c r="D361" s="40" t="s">
        <v>229</v>
      </c>
      <c r="E361" s="40"/>
      <c r="F361" s="40"/>
      <c r="G361" s="10">
        <f>G362+G366</f>
        <v>2634</v>
      </c>
      <c r="H361" s="335">
        <f t="shared" ref="H361" si="208">H362+H366</f>
        <v>2567</v>
      </c>
      <c r="I361" s="6">
        <f t="shared" si="194"/>
        <v>97.456340167046321</v>
      </c>
    </row>
    <row r="362" spans="1:9" ht="31.7" hidden="1" customHeight="1" x14ac:dyDescent="0.25">
      <c r="A362" s="29" t="s">
        <v>300</v>
      </c>
      <c r="B362" s="20" t="s">
        <v>1045</v>
      </c>
      <c r="C362" s="40" t="s">
        <v>280</v>
      </c>
      <c r="D362" s="40" t="s">
        <v>229</v>
      </c>
      <c r="E362" s="40"/>
      <c r="F362" s="40"/>
      <c r="G362" s="10">
        <f t="shared" ref="G362:H363" si="209">G363</f>
        <v>0</v>
      </c>
      <c r="H362" s="335">
        <f t="shared" si="209"/>
        <v>0</v>
      </c>
      <c r="I362" s="6" t="e">
        <f t="shared" si="194"/>
        <v>#DIV/0!</v>
      </c>
    </row>
    <row r="363" spans="1:9" ht="31.7" hidden="1" customHeight="1" x14ac:dyDescent="0.25">
      <c r="A363" s="29" t="s">
        <v>288</v>
      </c>
      <c r="B363" s="20" t="s">
        <v>1045</v>
      </c>
      <c r="C363" s="40" t="s">
        <v>280</v>
      </c>
      <c r="D363" s="40" t="s">
        <v>229</v>
      </c>
      <c r="E363" s="40" t="s">
        <v>289</v>
      </c>
      <c r="F363" s="40"/>
      <c r="G363" s="10">
        <f t="shared" si="209"/>
        <v>0</v>
      </c>
      <c r="H363" s="335">
        <f t="shared" si="209"/>
        <v>0</v>
      </c>
      <c r="I363" s="6" t="e">
        <f t="shared" si="194"/>
        <v>#DIV/0!</v>
      </c>
    </row>
    <row r="364" spans="1:9" ht="26.45" hidden="1" customHeight="1" x14ac:dyDescent="0.25">
      <c r="A364" s="29" t="s">
        <v>290</v>
      </c>
      <c r="B364" s="20" t="s">
        <v>1045</v>
      </c>
      <c r="C364" s="40" t="s">
        <v>280</v>
      </c>
      <c r="D364" s="40" t="s">
        <v>229</v>
      </c>
      <c r="E364" s="40" t="s">
        <v>291</v>
      </c>
      <c r="F364" s="40"/>
      <c r="G364" s="10">
        <f>'Пр.4 ведом.20'!G690</f>
        <v>0</v>
      </c>
      <c r="H364" s="335">
        <f>'Пр.4 ведом.20'!H690</f>
        <v>0</v>
      </c>
      <c r="I364" s="6" t="e">
        <f t="shared" si="194"/>
        <v>#DIV/0!</v>
      </c>
    </row>
    <row r="365" spans="1:9" s="217" customFormat="1" ht="34.5" hidden="1" customHeight="1" x14ac:dyDescent="0.25">
      <c r="A365" s="29" t="s">
        <v>419</v>
      </c>
      <c r="B365" s="20" t="s">
        <v>1045</v>
      </c>
      <c r="C365" s="40" t="s">
        <v>280</v>
      </c>
      <c r="D365" s="40" t="s">
        <v>229</v>
      </c>
      <c r="E365" s="40" t="s">
        <v>291</v>
      </c>
      <c r="F365" s="40" t="s">
        <v>653</v>
      </c>
      <c r="G365" s="10">
        <f>G364</f>
        <v>0</v>
      </c>
      <c r="H365" s="335">
        <f t="shared" ref="H365" si="210">H364</f>
        <v>0</v>
      </c>
      <c r="I365" s="6" t="e">
        <f t="shared" si="194"/>
        <v>#DIV/0!</v>
      </c>
    </row>
    <row r="366" spans="1:9" ht="34.5" customHeight="1" x14ac:dyDescent="0.25">
      <c r="A366" s="60" t="s">
        <v>787</v>
      </c>
      <c r="B366" s="20" t="s">
        <v>1046</v>
      </c>
      <c r="C366" s="40" t="s">
        <v>280</v>
      </c>
      <c r="D366" s="40" t="s">
        <v>229</v>
      </c>
      <c r="E366" s="40"/>
      <c r="F366" s="40"/>
      <c r="G366" s="10">
        <f t="shared" ref="G366:H367" si="211">G367</f>
        <v>2634</v>
      </c>
      <c r="H366" s="335">
        <f t="shared" si="211"/>
        <v>2567</v>
      </c>
      <c r="I366" s="6">
        <f t="shared" si="194"/>
        <v>97.456340167046321</v>
      </c>
    </row>
    <row r="367" spans="1:9" ht="40.700000000000003" customHeight="1" x14ac:dyDescent="0.25">
      <c r="A367" s="29" t="s">
        <v>288</v>
      </c>
      <c r="B367" s="20" t="s">
        <v>1046</v>
      </c>
      <c r="C367" s="40" t="s">
        <v>280</v>
      </c>
      <c r="D367" s="40" t="s">
        <v>229</v>
      </c>
      <c r="E367" s="40" t="s">
        <v>289</v>
      </c>
      <c r="F367" s="40"/>
      <c r="G367" s="10">
        <f t="shared" si="211"/>
        <v>2634</v>
      </c>
      <c r="H367" s="335">
        <f t="shared" si="211"/>
        <v>2567</v>
      </c>
      <c r="I367" s="6">
        <f t="shared" si="194"/>
        <v>97.456340167046321</v>
      </c>
    </row>
    <row r="368" spans="1:9" ht="19.5" customHeight="1" x14ac:dyDescent="0.25">
      <c r="A368" s="192" t="s">
        <v>290</v>
      </c>
      <c r="B368" s="20" t="s">
        <v>1046</v>
      </c>
      <c r="C368" s="40" t="s">
        <v>280</v>
      </c>
      <c r="D368" s="40" t="s">
        <v>229</v>
      </c>
      <c r="E368" s="40" t="s">
        <v>291</v>
      </c>
      <c r="F368" s="40"/>
      <c r="G368" s="10">
        <f>'Пр.4 ведом.20'!G693</f>
        <v>2634</v>
      </c>
      <c r="H368" s="335">
        <f>'Пр.4 ведом.20'!H693</f>
        <v>2567</v>
      </c>
      <c r="I368" s="6">
        <f t="shared" si="194"/>
        <v>97.456340167046321</v>
      </c>
    </row>
    <row r="369" spans="1:9" s="217" customFormat="1" ht="33" customHeight="1" x14ac:dyDescent="0.25">
      <c r="A369" s="29" t="s">
        <v>419</v>
      </c>
      <c r="B369" s="20" t="s">
        <v>1046</v>
      </c>
      <c r="C369" s="40" t="s">
        <v>280</v>
      </c>
      <c r="D369" s="40" t="s">
        <v>229</v>
      </c>
      <c r="E369" s="40" t="s">
        <v>291</v>
      </c>
      <c r="F369" s="40" t="s">
        <v>653</v>
      </c>
      <c r="G369" s="10">
        <f>G368</f>
        <v>2634</v>
      </c>
      <c r="H369" s="335">
        <f t="shared" ref="H369" si="212">H368</f>
        <v>2567</v>
      </c>
      <c r="I369" s="6">
        <f t="shared" si="194"/>
        <v>97.456340167046321</v>
      </c>
    </row>
    <row r="370" spans="1:9" s="217" customFormat="1" ht="38.25" customHeight="1" x14ac:dyDescent="0.25">
      <c r="A370" s="229" t="s">
        <v>1048</v>
      </c>
      <c r="B370" s="24" t="s">
        <v>1044</v>
      </c>
      <c r="C370" s="7"/>
      <c r="D370" s="7"/>
      <c r="E370" s="7"/>
      <c r="F370" s="7"/>
      <c r="G370" s="59">
        <f>G371</f>
        <v>752.8</v>
      </c>
      <c r="H370" s="347">
        <f t="shared" ref="H370" si="213">H371</f>
        <v>84.1</v>
      </c>
      <c r="I370" s="4">
        <f t="shared" si="194"/>
        <v>11.171625929861849</v>
      </c>
    </row>
    <row r="371" spans="1:9" s="217" customFormat="1" ht="18.75" customHeight="1" x14ac:dyDescent="0.25">
      <c r="A371" s="29" t="s">
        <v>279</v>
      </c>
      <c r="B371" s="40" t="s">
        <v>1044</v>
      </c>
      <c r="C371" s="40" t="s">
        <v>280</v>
      </c>
      <c r="D371" s="40"/>
      <c r="E371" s="40"/>
      <c r="F371" s="40"/>
      <c r="G371" s="10">
        <f t="shared" ref="G371:H371" si="214">G372</f>
        <v>752.8</v>
      </c>
      <c r="H371" s="335">
        <f t="shared" si="214"/>
        <v>84.1</v>
      </c>
      <c r="I371" s="6">
        <f t="shared" si="194"/>
        <v>11.171625929861849</v>
      </c>
    </row>
    <row r="372" spans="1:9" s="217" customFormat="1" ht="18" customHeight="1" x14ac:dyDescent="0.25">
      <c r="A372" s="29" t="s">
        <v>441</v>
      </c>
      <c r="B372" s="40" t="s">
        <v>1044</v>
      </c>
      <c r="C372" s="40" t="s">
        <v>280</v>
      </c>
      <c r="D372" s="40" t="s">
        <v>229</v>
      </c>
      <c r="E372" s="40"/>
      <c r="F372" s="40"/>
      <c r="G372" s="10">
        <f>G373+G377</f>
        <v>752.8</v>
      </c>
      <c r="H372" s="335">
        <f t="shared" ref="H372" si="215">H373+H377</f>
        <v>84.1</v>
      </c>
      <c r="I372" s="6">
        <f t="shared" si="194"/>
        <v>11.171625929861849</v>
      </c>
    </row>
    <row r="373" spans="1:9" s="217" customFormat="1" ht="47.25" x14ac:dyDescent="0.25">
      <c r="A373" s="192" t="s">
        <v>874</v>
      </c>
      <c r="B373" s="338" t="s">
        <v>1517</v>
      </c>
      <c r="C373" s="40" t="s">
        <v>280</v>
      </c>
      <c r="D373" s="40" t="s">
        <v>229</v>
      </c>
      <c r="E373" s="40"/>
      <c r="F373" s="40"/>
      <c r="G373" s="10">
        <f>G374</f>
        <v>678</v>
      </c>
      <c r="H373" s="335">
        <f t="shared" ref="H373:H374" si="216">H374</f>
        <v>84.1</v>
      </c>
      <c r="I373" s="6">
        <f t="shared" si="194"/>
        <v>12.404129793510323</v>
      </c>
    </row>
    <row r="374" spans="1:9" s="217" customFormat="1" ht="39.75" customHeight="1" x14ac:dyDescent="0.25">
      <c r="A374" s="29" t="s">
        <v>288</v>
      </c>
      <c r="B374" s="338" t="s">
        <v>1517</v>
      </c>
      <c r="C374" s="40" t="s">
        <v>280</v>
      </c>
      <c r="D374" s="40" t="s">
        <v>229</v>
      </c>
      <c r="E374" s="40" t="s">
        <v>289</v>
      </c>
      <c r="F374" s="40"/>
      <c r="G374" s="10">
        <f>G375</f>
        <v>678</v>
      </c>
      <c r="H374" s="335">
        <f t="shared" si="216"/>
        <v>84.1</v>
      </c>
      <c r="I374" s="6">
        <f t="shared" si="194"/>
        <v>12.404129793510323</v>
      </c>
    </row>
    <row r="375" spans="1:9" s="217" customFormat="1" ht="19.5" customHeight="1" x14ac:dyDescent="0.25">
      <c r="A375" s="192" t="s">
        <v>290</v>
      </c>
      <c r="B375" s="338" t="s">
        <v>1517</v>
      </c>
      <c r="C375" s="40" t="s">
        <v>280</v>
      </c>
      <c r="D375" s="40" t="s">
        <v>229</v>
      </c>
      <c r="E375" s="40" t="s">
        <v>291</v>
      </c>
      <c r="F375" s="40"/>
      <c r="G375" s="10">
        <f>'Пр.3 Рд,пр, ЦС,ВР 20'!F648</f>
        <v>678</v>
      </c>
      <c r="H375" s="335">
        <f>'Пр.3 Рд,пр, ЦС,ВР 20'!G648</f>
        <v>84.1</v>
      </c>
      <c r="I375" s="6">
        <f t="shared" si="194"/>
        <v>12.404129793510323</v>
      </c>
    </row>
    <row r="376" spans="1:9" s="217" customFormat="1" ht="31.7" customHeight="1" x14ac:dyDescent="0.25">
      <c r="A376" s="29" t="s">
        <v>419</v>
      </c>
      <c r="B376" s="338" t="s">
        <v>1517</v>
      </c>
      <c r="C376" s="40" t="s">
        <v>280</v>
      </c>
      <c r="D376" s="40" t="s">
        <v>229</v>
      </c>
      <c r="E376" s="40" t="s">
        <v>291</v>
      </c>
      <c r="F376" s="40" t="s">
        <v>653</v>
      </c>
      <c r="G376" s="10">
        <f>G375</f>
        <v>678</v>
      </c>
      <c r="H376" s="335">
        <f t="shared" ref="H376" si="217">H375</f>
        <v>84.1</v>
      </c>
      <c r="I376" s="6">
        <f t="shared" si="194"/>
        <v>12.404129793510323</v>
      </c>
    </row>
    <row r="377" spans="1:9" s="331" customFormat="1" ht="31.7" customHeight="1" x14ac:dyDescent="0.25">
      <c r="A377" s="31" t="s">
        <v>1516</v>
      </c>
      <c r="B377" s="338" t="s">
        <v>1518</v>
      </c>
      <c r="C377" s="346" t="s">
        <v>280</v>
      </c>
      <c r="D377" s="346" t="s">
        <v>229</v>
      </c>
      <c r="E377" s="346"/>
      <c r="F377" s="346"/>
      <c r="G377" s="335">
        <f>G378</f>
        <v>74.8</v>
      </c>
      <c r="H377" s="335">
        <f t="shared" ref="H377:H379" si="218">H378</f>
        <v>0</v>
      </c>
      <c r="I377" s="6">
        <f t="shared" si="194"/>
        <v>0</v>
      </c>
    </row>
    <row r="378" spans="1:9" s="331" customFormat="1" ht="31.7" customHeight="1" x14ac:dyDescent="0.25">
      <c r="A378" s="31" t="s">
        <v>288</v>
      </c>
      <c r="B378" s="338" t="s">
        <v>1518</v>
      </c>
      <c r="C378" s="346" t="s">
        <v>280</v>
      </c>
      <c r="D378" s="346" t="s">
        <v>229</v>
      </c>
      <c r="E378" s="346" t="s">
        <v>289</v>
      </c>
      <c r="F378" s="346"/>
      <c r="G378" s="335">
        <f>G379</f>
        <v>74.8</v>
      </c>
      <c r="H378" s="335">
        <f t="shared" si="218"/>
        <v>0</v>
      </c>
      <c r="I378" s="6">
        <f t="shared" si="194"/>
        <v>0</v>
      </c>
    </row>
    <row r="379" spans="1:9" s="331" customFormat="1" ht="31.7" customHeight="1" x14ac:dyDescent="0.25">
      <c r="A379" s="31" t="s">
        <v>290</v>
      </c>
      <c r="B379" s="338" t="s">
        <v>1518</v>
      </c>
      <c r="C379" s="346" t="s">
        <v>280</v>
      </c>
      <c r="D379" s="346" t="s">
        <v>229</v>
      </c>
      <c r="E379" s="346" t="s">
        <v>291</v>
      </c>
      <c r="F379" s="346"/>
      <c r="G379" s="335">
        <f>G380</f>
        <v>74.8</v>
      </c>
      <c r="H379" s="335">
        <f t="shared" si="218"/>
        <v>0</v>
      </c>
      <c r="I379" s="6">
        <f t="shared" si="194"/>
        <v>0</v>
      </c>
    </row>
    <row r="380" spans="1:9" s="331" customFormat="1" ht="31.7" customHeight="1" x14ac:dyDescent="0.25">
      <c r="A380" s="345" t="s">
        <v>419</v>
      </c>
      <c r="B380" s="338" t="s">
        <v>1518</v>
      </c>
      <c r="C380" s="346" t="s">
        <v>280</v>
      </c>
      <c r="D380" s="346" t="s">
        <v>229</v>
      </c>
      <c r="E380" s="346" t="s">
        <v>291</v>
      </c>
      <c r="F380" s="346" t="s">
        <v>653</v>
      </c>
      <c r="G380" s="335">
        <f>'Пр.4 ведом.20'!G700</f>
        <v>74.8</v>
      </c>
      <c r="H380" s="335">
        <f>'Пр.4 ведом.20'!H700</f>
        <v>0</v>
      </c>
      <c r="I380" s="6">
        <f t="shared" si="194"/>
        <v>0</v>
      </c>
    </row>
    <row r="381" spans="1:9" s="217" customFormat="1" ht="48.2" customHeight="1" x14ac:dyDescent="0.25">
      <c r="A381" s="229" t="s">
        <v>1414</v>
      </c>
      <c r="B381" s="24" t="s">
        <v>1412</v>
      </c>
      <c r="C381" s="40"/>
      <c r="D381" s="40"/>
      <c r="E381" s="40"/>
      <c r="F381" s="40"/>
      <c r="G381" s="59">
        <f>G382</f>
        <v>1164.8589999999999</v>
      </c>
      <c r="H381" s="347">
        <f t="shared" ref="H381" si="219">H382</f>
        <v>0</v>
      </c>
      <c r="I381" s="4">
        <f t="shared" si="194"/>
        <v>0</v>
      </c>
    </row>
    <row r="382" spans="1:9" s="217" customFormat="1" ht="15" customHeight="1" x14ac:dyDescent="0.25">
      <c r="A382" s="29" t="s">
        <v>279</v>
      </c>
      <c r="B382" s="20" t="s">
        <v>1412</v>
      </c>
      <c r="C382" s="40" t="s">
        <v>280</v>
      </c>
      <c r="D382" s="40"/>
      <c r="E382" s="40"/>
      <c r="F382" s="40"/>
      <c r="G382" s="10">
        <f>G383+G388</f>
        <v>1164.8589999999999</v>
      </c>
      <c r="H382" s="335">
        <f t="shared" ref="H382" si="220">H383+H388</f>
        <v>0</v>
      </c>
      <c r="I382" s="6">
        <f t="shared" si="194"/>
        <v>0</v>
      </c>
    </row>
    <row r="383" spans="1:9" s="217" customFormat="1" ht="19.5" customHeight="1" x14ac:dyDescent="0.25">
      <c r="A383" s="29" t="s">
        <v>441</v>
      </c>
      <c r="B383" s="20" t="s">
        <v>1412</v>
      </c>
      <c r="C383" s="40" t="s">
        <v>280</v>
      </c>
      <c r="D383" s="40" t="s">
        <v>229</v>
      </c>
      <c r="E383" s="40"/>
      <c r="F383" s="40"/>
      <c r="G383" s="10">
        <f>G384</f>
        <v>1164.8589999999999</v>
      </c>
      <c r="H383" s="335">
        <f t="shared" ref="H383:H385" si="221">H384</f>
        <v>0</v>
      </c>
      <c r="I383" s="6">
        <f t="shared" si="194"/>
        <v>0</v>
      </c>
    </row>
    <row r="384" spans="1:9" s="217" customFormat="1" ht="48.75" customHeight="1" x14ac:dyDescent="0.25">
      <c r="A384" s="192" t="s">
        <v>1453</v>
      </c>
      <c r="B384" s="20" t="s">
        <v>1413</v>
      </c>
      <c r="C384" s="40" t="s">
        <v>280</v>
      </c>
      <c r="D384" s="40" t="s">
        <v>229</v>
      </c>
      <c r="E384" s="40"/>
      <c r="F384" s="40"/>
      <c r="G384" s="10">
        <f>G385</f>
        <v>1164.8589999999999</v>
      </c>
      <c r="H384" s="335">
        <f t="shared" si="221"/>
        <v>0</v>
      </c>
      <c r="I384" s="6">
        <f t="shared" si="194"/>
        <v>0</v>
      </c>
    </row>
    <row r="385" spans="1:9" s="217" customFormat="1" ht="33.75" customHeight="1" x14ac:dyDescent="0.25">
      <c r="A385" s="31" t="s">
        <v>288</v>
      </c>
      <c r="B385" s="20" t="s">
        <v>1413</v>
      </c>
      <c r="C385" s="40" t="s">
        <v>280</v>
      </c>
      <c r="D385" s="40" t="s">
        <v>229</v>
      </c>
      <c r="E385" s="40" t="s">
        <v>289</v>
      </c>
      <c r="F385" s="40"/>
      <c r="G385" s="10">
        <f>G386</f>
        <v>1164.8589999999999</v>
      </c>
      <c r="H385" s="335">
        <f t="shared" si="221"/>
        <v>0</v>
      </c>
      <c r="I385" s="6">
        <f t="shared" si="194"/>
        <v>0</v>
      </c>
    </row>
    <row r="386" spans="1:9" s="217" customFormat="1" ht="21.2" customHeight="1" x14ac:dyDescent="0.25">
      <c r="A386" s="31" t="s">
        <v>290</v>
      </c>
      <c r="B386" s="20" t="s">
        <v>1413</v>
      </c>
      <c r="C386" s="40" t="s">
        <v>280</v>
      </c>
      <c r="D386" s="40" t="s">
        <v>229</v>
      </c>
      <c r="E386" s="40" t="s">
        <v>291</v>
      </c>
      <c r="F386" s="40"/>
      <c r="G386" s="10">
        <f>'Пр.4 ведом.20'!G704</f>
        <v>1164.8589999999999</v>
      </c>
      <c r="H386" s="335">
        <f>'Пр.4 ведом.20'!H704</f>
        <v>0</v>
      </c>
      <c r="I386" s="6">
        <f t="shared" si="194"/>
        <v>0</v>
      </c>
    </row>
    <row r="387" spans="1:9" s="217" customFormat="1" ht="31.7" customHeight="1" x14ac:dyDescent="0.25">
      <c r="A387" s="29" t="s">
        <v>419</v>
      </c>
      <c r="B387" s="20" t="s">
        <v>1413</v>
      </c>
      <c r="C387" s="40" t="s">
        <v>280</v>
      </c>
      <c r="D387" s="40" t="s">
        <v>229</v>
      </c>
      <c r="E387" s="40" t="s">
        <v>291</v>
      </c>
      <c r="F387" s="40" t="s">
        <v>653</v>
      </c>
      <c r="G387" s="10">
        <f>G381</f>
        <v>1164.8589999999999</v>
      </c>
      <c r="H387" s="335">
        <f t="shared" ref="H387" si="222">H381</f>
        <v>0</v>
      </c>
      <c r="I387" s="6">
        <f t="shared" si="194"/>
        <v>0</v>
      </c>
    </row>
    <row r="388" spans="1:9" s="331" customFormat="1" ht="67.7" hidden="1" customHeight="1" x14ac:dyDescent="0.25">
      <c r="A388" s="192" t="s">
        <v>1537</v>
      </c>
      <c r="B388" s="338" t="s">
        <v>1536</v>
      </c>
      <c r="C388" s="346" t="s">
        <v>280</v>
      </c>
      <c r="D388" s="346" t="s">
        <v>229</v>
      </c>
      <c r="E388" s="346"/>
      <c r="F388" s="346"/>
      <c r="G388" s="335">
        <f>G389</f>
        <v>0</v>
      </c>
      <c r="H388" s="335">
        <f t="shared" ref="H388:H389" si="223">H389</f>
        <v>0</v>
      </c>
      <c r="I388" s="6" t="e">
        <f t="shared" si="194"/>
        <v>#DIV/0!</v>
      </c>
    </row>
    <row r="389" spans="1:9" s="331" customFormat="1" ht="38.85" hidden="1" customHeight="1" x14ac:dyDescent="0.25">
      <c r="A389" s="31" t="s">
        <v>288</v>
      </c>
      <c r="B389" s="338" t="s">
        <v>1536</v>
      </c>
      <c r="C389" s="346" t="s">
        <v>280</v>
      </c>
      <c r="D389" s="346" t="s">
        <v>229</v>
      </c>
      <c r="E389" s="346" t="s">
        <v>289</v>
      </c>
      <c r="F389" s="346"/>
      <c r="G389" s="335">
        <f>G390</f>
        <v>0</v>
      </c>
      <c r="H389" s="335">
        <f t="shared" si="223"/>
        <v>0</v>
      </c>
      <c r="I389" s="6" t="e">
        <f t="shared" si="194"/>
        <v>#DIV/0!</v>
      </c>
    </row>
    <row r="390" spans="1:9" s="331" customFormat="1" ht="19.149999999999999" hidden="1" customHeight="1" x14ac:dyDescent="0.25">
      <c r="A390" s="31" t="s">
        <v>290</v>
      </c>
      <c r="B390" s="338" t="s">
        <v>1536</v>
      </c>
      <c r="C390" s="346" t="s">
        <v>280</v>
      </c>
      <c r="D390" s="346" t="s">
        <v>229</v>
      </c>
      <c r="E390" s="346" t="s">
        <v>291</v>
      </c>
      <c r="F390" s="346"/>
      <c r="G390" s="335">
        <f>'Пр.4 ведом.20'!G707</f>
        <v>0</v>
      </c>
      <c r="H390" s="335">
        <f>'Пр.4 ведом.20'!H707</f>
        <v>0</v>
      </c>
      <c r="I390" s="6" t="e">
        <f t="shared" si="194"/>
        <v>#DIV/0!</v>
      </c>
    </row>
    <row r="391" spans="1:9" s="331" customFormat="1" ht="31.7" hidden="1" customHeight="1" x14ac:dyDescent="0.25">
      <c r="A391" s="345" t="s">
        <v>419</v>
      </c>
      <c r="B391" s="338" t="s">
        <v>1536</v>
      </c>
      <c r="C391" s="346" t="s">
        <v>280</v>
      </c>
      <c r="D391" s="346" t="s">
        <v>229</v>
      </c>
      <c r="E391" s="346" t="s">
        <v>291</v>
      </c>
      <c r="F391" s="346" t="s">
        <v>653</v>
      </c>
      <c r="G391" s="335">
        <f>G388</f>
        <v>0</v>
      </c>
      <c r="H391" s="335">
        <f t="shared" ref="H391" si="224">H388</f>
        <v>0</v>
      </c>
      <c r="I391" s="6" t="e">
        <f t="shared" si="194"/>
        <v>#DIV/0!</v>
      </c>
    </row>
    <row r="392" spans="1:9" ht="36" customHeight="1" x14ac:dyDescent="0.25">
      <c r="A392" s="41" t="s">
        <v>462</v>
      </c>
      <c r="B392" s="7" t="s">
        <v>463</v>
      </c>
      <c r="C392" s="7"/>
      <c r="D392" s="7"/>
      <c r="E392" s="7"/>
      <c r="F392" s="7"/>
      <c r="G392" s="59">
        <f t="shared" ref="G392:H392" si="225">G394</f>
        <v>689</v>
      </c>
      <c r="H392" s="347">
        <f t="shared" si="225"/>
        <v>600</v>
      </c>
      <c r="I392" s="4">
        <f t="shared" si="194"/>
        <v>87.082728592162553</v>
      </c>
    </row>
    <row r="393" spans="1:9" s="217" customFormat="1" ht="36" customHeight="1" x14ac:dyDescent="0.25">
      <c r="A393" s="231" t="s">
        <v>1077</v>
      </c>
      <c r="B393" s="24" t="s">
        <v>1053</v>
      </c>
      <c r="C393" s="7"/>
      <c r="D393" s="7"/>
      <c r="E393" s="7"/>
      <c r="F393" s="7"/>
      <c r="G393" s="59">
        <f>G394</f>
        <v>689</v>
      </c>
      <c r="H393" s="347">
        <f t="shared" ref="H393" si="226">H394</f>
        <v>600</v>
      </c>
      <c r="I393" s="4">
        <f t="shared" si="194"/>
        <v>87.082728592162553</v>
      </c>
    </row>
    <row r="394" spans="1:9" ht="16.5" customHeight="1" x14ac:dyDescent="0.25">
      <c r="A394" s="29" t="s">
        <v>279</v>
      </c>
      <c r="B394" s="40" t="s">
        <v>1053</v>
      </c>
      <c r="C394" s="40" t="s">
        <v>280</v>
      </c>
      <c r="D394" s="40"/>
      <c r="E394" s="40"/>
      <c r="F394" s="40"/>
      <c r="G394" s="10">
        <f t="shared" ref="G394:H395" si="227">G395</f>
        <v>689</v>
      </c>
      <c r="H394" s="335">
        <f t="shared" si="227"/>
        <v>600</v>
      </c>
      <c r="I394" s="6">
        <f t="shared" si="194"/>
        <v>87.082728592162553</v>
      </c>
    </row>
    <row r="395" spans="1:9" ht="17.45" customHeight="1" x14ac:dyDescent="0.25">
      <c r="A395" s="29" t="s">
        <v>281</v>
      </c>
      <c r="B395" s="40" t="s">
        <v>1053</v>
      </c>
      <c r="C395" s="40" t="s">
        <v>280</v>
      </c>
      <c r="D395" s="40" t="s">
        <v>231</v>
      </c>
      <c r="E395" s="40"/>
      <c r="F395" s="40"/>
      <c r="G395" s="10">
        <f>G396</f>
        <v>689</v>
      </c>
      <c r="H395" s="335">
        <f t="shared" si="227"/>
        <v>600</v>
      </c>
      <c r="I395" s="6">
        <f t="shared" si="194"/>
        <v>87.082728592162553</v>
      </c>
    </row>
    <row r="396" spans="1:9" ht="31.5" x14ac:dyDescent="0.25">
      <c r="A396" s="45" t="s">
        <v>787</v>
      </c>
      <c r="B396" s="20" t="s">
        <v>1054</v>
      </c>
      <c r="C396" s="20" t="s">
        <v>280</v>
      </c>
      <c r="D396" s="20" t="s">
        <v>231</v>
      </c>
      <c r="E396" s="20"/>
      <c r="F396" s="20"/>
      <c r="G396" s="10">
        <f t="shared" ref="G396:H397" si="228">G397</f>
        <v>689</v>
      </c>
      <c r="H396" s="335">
        <f t="shared" si="228"/>
        <v>600</v>
      </c>
      <c r="I396" s="6">
        <f t="shared" si="194"/>
        <v>87.082728592162553</v>
      </c>
    </row>
    <row r="397" spans="1:9" ht="31.5" x14ac:dyDescent="0.25">
      <c r="A397" s="29" t="s">
        <v>288</v>
      </c>
      <c r="B397" s="20" t="s">
        <v>1054</v>
      </c>
      <c r="C397" s="20" t="s">
        <v>280</v>
      </c>
      <c r="D397" s="20" t="s">
        <v>231</v>
      </c>
      <c r="E397" s="20" t="s">
        <v>289</v>
      </c>
      <c r="F397" s="20"/>
      <c r="G397" s="10">
        <f t="shared" si="228"/>
        <v>689</v>
      </c>
      <c r="H397" s="335">
        <f t="shared" si="228"/>
        <v>600</v>
      </c>
      <c r="I397" s="6">
        <f t="shared" si="194"/>
        <v>87.082728592162553</v>
      </c>
    </row>
    <row r="398" spans="1:9" ht="15.75" x14ac:dyDescent="0.25">
      <c r="A398" s="31" t="s">
        <v>290</v>
      </c>
      <c r="B398" s="20" t="s">
        <v>1054</v>
      </c>
      <c r="C398" s="20" t="s">
        <v>280</v>
      </c>
      <c r="D398" s="20" t="s">
        <v>231</v>
      </c>
      <c r="E398" s="20" t="s">
        <v>291</v>
      </c>
      <c r="F398" s="20"/>
      <c r="G398" s="10">
        <f>'Пр.4 ведом.20'!G746</f>
        <v>689</v>
      </c>
      <c r="H398" s="335">
        <f>'Пр.4 ведом.20'!H746</f>
        <v>600</v>
      </c>
      <c r="I398" s="6">
        <f t="shared" si="194"/>
        <v>87.082728592162553</v>
      </c>
    </row>
    <row r="399" spans="1:9" s="217" customFormat="1" ht="34.5" customHeight="1" x14ac:dyDescent="0.25">
      <c r="A399" s="29" t="s">
        <v>419</v>
      </c>
      <c r="B399" s="20" t="s">
        <v>1054</v>
      </c>
      <c r="C399" s="40" t="s">
        <v>280</v>
      </c>
      <c r="D399" s="40" t="s">
        <v>231</v>
      </c>
      <c r="E399" s="40" t="s">
        <v>291</v>
      </c>
      <c r="F399" s="40" t="s">
        <v>653</v>
      </c>
      <c r="G399" s="10">
        <f>G398</f>
        <v>689</v>
      </c>
      <c r="H399" s="335">
        <f t="shared" ref="H399" si="229">H398</f>
        <v>600</v>
      </c>
      <c r="I399" s="6">
        <f t="shared" si="194"/>
        <v>87.082728592162553</v>
      </c>
    </row>
    <row r="400" spans="1:9" ht="31.5" x14ac:dyDescent="0.25">
      <c r="A400" s="41" t="s">
        <v>483</v>
      </c>
      <c r="B400" s="7" t="s">
        <v>485</v>
      </c>
      <c r="C400" s="7"/>
      <c r="D400" s="7"/>
      <c r="E400" s="7"/>
      <c r="F400" s="7"/>
      <c r="G400" s="59">
        <f>G401</f>
        <v>5804.9</v>
      </c>
      <c r="H400" s="347">
        <f t="shared" ref="H400:H401" si="230">H401</f>
        <v>2389.1999999999998</v>
      </c>
      <c r="I400" s="4">
        <f t="shared" si="194"/>
        <v>41.158331754207651</v>
      </c>
    </row>
    <row r="401" spans="1:9" s="217" customFormat="1" ht="31.5" x14ac:dyDescent="0.25">
      <c r="A401" s="23" t="s">
        <v>1056</v>
      </c>
      <c r="B401" s="24" t="s">
        <v>1057</v>
      </c>
      <c r="C401" s="7"/>
      <c r="D401" s="7"/>
      <c r="E401" s="7"/>
      <c r="F401" s="7"/>
      <c r="G401" s="59">
        <f>G402</f>
        <v>5804.9</v>
      </c>
      <c r="H401" s="347">
        <f t="shared" si="230"/>
        <v>2389.1999999999998</v>
      </c>
      <c r="I401" s="4">
        <f t="shared" si="194"/>
        <v>41.158331754207651</v>
      </c>
    </row>
    <row r="402" spans="1:9" ht="15.75" x14ac:dyDescent="0.25">
      <c r="A402" s="29" t="s">
        <v>279</v>
      </c>
      <c r="B402" s="40" t="s">
        <v>1057</v>
      </c>
      <c r="C402" s="40" t="s">
        <v>280</v>
      </c>
      <c r="D402" s="40"/>
      <c r="E402" s="40"/>
      <c r="F402" s="40"/>
      <c r="G402" s="10">
        <f t="shared" ref="G402:H405" si="231">G403</f>
        <v>5804.9</v>
      </c>
      <c r="H402" s="335">
        <f t="shared" si="231"/>
        <v>2389.1999999999998</v>
      </c>
      <c r="I402" s="6">
        <f t="shared" si="194"/>
        <v>41.158331754207651</v>
      </c>
    </row>
    <row r="403" spans="1:9" ht="15.75" x14ac:dyDescent="0.25">
      <c r="A403" s="29" t="s">
        <v>482</v>
      </c>
      <c r="B403" s="40" t="s">
        <v>1057</v>
      </c>
      <c r="C403" s="40" t="s">
        <v>280</v>
      </c>
      <c r="D403" s="40" t="s">
        <v>280</v>
      </c>
      <c r="E403" s="40"/>
      <c r="F403" s="40"/>
      <c r="G403" s="10">
        <f>G404+G408</f>
        <v>5804.9</v>
      </c>
      <c r="H403" s="335">
        <f t="shared" ref="H403" si="232">H404+H408</f>
        <v>2389.1999999999998</v>
      </c>
      <c r="I403" s="6">
        <f t="shared" ref="I403:I466" si="233">H403/G403*100</f>
        <v>41.158331754207651</v>
      </c>
    </row>
    <row r="404" spans="1:9" ht="31.5" x14ac:dyDescent="0.25">
      <c r="A404" s="31" t="s">
        <v>1235</v>
      </c>
      <c r="B404" s="20" t="s">
        <v>1058</v>
      </c>
      <c r="C404" s="40" t="s">
        <v>280</v>
      </c>
      <c r="D404" s="40" t="s">
        <v>280</v>
      </c>
      <c r="E404" s="40"/>
      <c r="F404" s="40"/>
      <c r="G404" s="10">
        <f t="shared" si="231"/>
        <v>3584</v>
      </c>
      <c r="H404" s="335">
        <f t="shared" si="231"/>
        <v>2389.1999999999998</v>
      </c>
      <c r="I404" s="6">
        <f t="shared" si="233"/>
        <v>66.662946428571416</v>
      </c>
    </row>
    <row r="405" spans="1:9" ht="31.5" x14ac:dyDescent="0.25">
      <c r="A405" s="25" t="s">
        <v>288</v>
      </c>
      <c r="B405" s="20" t="s">
        <v>1058</v>
      </c>
      <c r="C405" s="40" t="s">
        <v>280</v>
      </c>
      <c r="D405" s="40" t="s">
        <v>280</v>
      </c>
      <c r="E405" s="40" t="s">
        <v>289</v>
      </c>
      <c r="F405" s="40"/>
      <c r="G405" s="10">
        <f t="shared" si="231"/>
        <v>3584</v>
      </c>
      <c r="H405" s="335">
        <f t="shared" si="231"/>
        <v>2389.1999999999998</v>
      </c>
      <c r="I405" s="6">
        <f t="shared" si="233"/>
        <v>66.662946428571416</v>
      </c>
    </row>
    <row r="406" spans="1:9" ht="15.75" x14ac:dyDescent="0.25">
      <c r="A406" s="25" t="s">
        <v>290</v>
      </c>
      <c r="B406" s="20" t="s">
        <v>1058</v>
      </c>
      <c r="C406" s="40" t="s">
        <v>280</v>
      </c>
      <c r="D406" s="40" t="s">
        <v>280</v>
      </c>
      <c r="E406" s="40" t="s">
        <v>291</v>
      </c>
      <c r="F406" s="40"/>
      <c r="G406" s="10">
        <f>'Пр.4 ведом.20'!G758</f>
        <v>3584</v>
      </c>
      <c r="H406" s="335">
        <f>'Пр.4 ведом.20'!H758</f>
        <v>2389.1999999999998</v>
      </c>
      <c r="I406" s="6">
        <f t="shared" si="233"/>
        <v>66.662946428571416</v>
      </c>
    </row>
    <row r="407" spans="1:9" s="217" customFormat="1" ht="31.5" x14ac:dyDescent="0.25">
      <c r="A407" s="29" t="s">
        <v>419</v>
      </c>
      <c r="B407" s="20" t="s">
        <v>1058</v>
      </c>
      <c r="C407" s="40" t="s">
        <v>280</v>
      </c>
      <c r="D407" s="40" t="s">
        <v>280</v>
      </c>
      <c r="E407" s="40" t="s">
        <v>291</v>
      </c>
      <c r="F407" s="40" t="s">
        <v>653</v>
      </c>
      <c r="G407" s="10">
        <f>G406</f>
        <v>3584</v>
      </c>
      <c r="H407" s="335">
        <f t="shared" ref="H407" si="234">H406</f>
        <v>2389.1999999999998</v>
      </c>
      <c r="I407" s="6">
        <f t="shared" si="233"/>
        <v>66.662946428571416</v>
      </c>
    </row>
    <row r="408" spans="1:9" s="217" customFormat="1" ht="31.5" x14ac:dyDescent="0.25">
      <c r="A408" s="31" t="s">
        <v>490</v>
      </c>
      <c r="B408" s="20" t="s">
        <v>1059</v>
      </c>
      <c r="C408" s="40" t="s">
        <v>280</v>
      </c>
      <c r="D408" s="40" t="s">
        <v>280</v>
      </c>
      <c r="E408" s="40"/>
      <c r="F408" s="40"/>
      <c r="G408" s="10">
        <f>G409</f>
        <v>2220.9</v>
      </c>
      <c r="H408" s="335">
        <f t="shared" ref="H408:H409" si="235">H409</f>
        <v>0</v>
      </c>
      <c r="I408" s="6">
        <f t="shared" si="233"/>
        <v>0</v>
      </c>
    </row>
    <row r="409" spans="1:9" s="217" customFormat="1" ht="31.5" x14ac:dyDescent="0.25">
      <c r="A409" s="25" t="s">
        <v>288</v>
      </c>
      <c r="B409" s="20" t="s">
        <v>1059</v>
      </c>
      <c r="C409" s="40" t="s">
        <v>280</v>
      </c>
      <c r="D409" s="40" t="s">
        <v>280</v>
      </c>
      <c r="E409" s="40" t="s">
        <v>289</v>
      </c>
      <c r="F409" s="40"/>
      <c r="G409" s="10">
        <f>G410</f>
        <v>2220.9</v>
      </c>
      <c r="H409" s="335">
        <f t="shared" si="235"/>
        <v>0</v>
      </c>
      <c r="I409" s="6">
        <f t="shared" si="233"/>
        <v>0</v>
      </c>
    </row>
    <row r="410" spans="1:9" s="217" customFormat="1" ht="15.75" x14ac:dyDescent="0.25">
      <c r="A410" s="25" t="s">
        <v>290</v>
      </c>
      <c r="B410" s="20" t="s">
        <v>1059</v>
      </c>
      <c r="C410" s="40" t="s">
        <v>280</v>
      </c>
      <c r="D410" s="40" t="s">
        <v>280</v>
      </c>
      <c r="E410" s="40" t="s">
        <v>291</v>
      </c>
      <c r="F410" s="40"/>
      <c r="G410" s="10">
        <f>'Пр.3 Рд,пр, ЦС,ВР 20'!F771</f>
        <v>2220.9</v>
      </c>
      <c r="H410" s="335">
        <f>'Пр.3 Рд,пр, ЦС,ВР 20'!G771</f>
        <v>0</v>
      </c>
      <c r="I410" s="6">
        <f t="shared" si="233"/>
        <v>0</v>
      </c>
    </row>
    <row r="411" spans="1:9" ht="31.5" x14ac:dyDescent="0.25">
      <c r="A411" s="29" t="s">
        <v>419</v>
      </c>
      <c r="B411" s="20" t="s">
        <v>1059</v>
      </c>
      <c r="C411" s="40" t="s">
        <v>280</v>
      </c>
      <c r="D411" s="40" t="s">
        <v>280</v>
      </c>
      <c r="E411" s="40" t="s">
        <v>291</v>
      </c>
      <c r="F411" s="40" t="s">
        <v>653</v>
      </c>
      <c r="G411" s="10">
        <f>G410</f>
        <v>2220.9</v>
      </c>
      <c r="H411" s="335">
        <f t="shared" ref="H411" si="236">H410</f>
        <v>0</v>
      </c>
      <c r="I411" s="6">
        <f t="shared" si="233"/>
        <v>0</v>
      </c>
    </row>
    <row r="412" spans="1:9" ht="47.25" x14ac:dyDescent="0.25">
      <c r="A412" s="58" t="s">
        <v>815</v>
      </c>
      <c r="B412" s="207" t="s">
        <v>172</v>
      </c>
      <c r="C412" s="7"/>
      <c r="D412" s="207"/>
      <c r="E412" s="207"/>
      <c r="F412" s="207"/>
      <c r="G412" s="59">
        <f>G414</f>
        <v>250</v>
      </c>
      <c r="H412" s="347">
        <f t="shared" ref="H412" si="237">H414</f>
        <v>0</v>
      </c>
      <c r="I412" s="4">
        <f t="shared" si="233"/>
        <v>0</v>
      </c>
    </row>
    <row r="413" spans="1:9" s="217" customFormat="1" ht="50.25" customHeight="1" x14ac:dyDescent="0.25">
      <c r="A413" s="23" t="s">
        <v>1243</v>
      </c>
      <c r="B413" s="24" t="s">
        <v>1240</v>
      </c>
      <c r="C413" s="7"/>
      <c r="D413" s="7"/>
      <c r="E413" s="7"/>
      <c r="F413" s="7"/>
      <c r="G413" s="59">
        <f>G414</f>
        <v>250</v>
      </c>
      <c r="H413" s="347">
        <f t="shared" ref="H413:H414" si="238">H414</f>
        <v>0</v>
      </c>
      <c r="I413" s="4">
        <f t="shared" si="233"/>
        <v>0</v>
      </c>
    </row>
    <row r="414" spans="1:9" ht="15.75" x14ac:dyDescent="0.25">
      <c r="A414" s="45" t="s">
        <v>248</v>
      </c>
      <c r="B414" s="5" t="s">
        <v>1240</v>
      </c>
      <c r="C414" s="40" t="s">
        <v>166</v>
      </c>
      <c r="D414" s="40"/>
      <c r="E414" s="40"/>
      <c r="F414" s="40"/>
      <c r="G414" s="10">
        <f>G415</f>
        <v>250</v>
      </c>
      <c r="H414" s="335">
        <f t="shared" si="238"/>
        <v>0</v>
      </c>
      <c r="I414" s="6">
        <f t="shared" si="233"/>
        <v>0</v>
      </c>
    </row>
    <row r="415" spans="1:9" ht="15.75" x14ac:dyDescent="0.25">
      <c r="A415" s="45" t="s">
        <v>798</v>
      </c>
      <c r="B415" s="5" t="s">
        <v>1240</v>
      </c>
      <c r="C415" s="40" t="s">
        <v>166</v>
      </c>
      <c r="D415" s="40" t="s">
        <v>254</v>
      </c>
      <c r="E415" s="40"/>
      <c r="F415" s="40"/>
      <c r="G415" s="10">
        <f>G416+G420</f>
        <v>250</v>
      </c>
      <c r="H415" s="335">
        <f t="shared" ref="H415" si="239">H416+H420</f>
        <v>0</v>
      </c>
      <c r="I415" s="6">
        <f t="shared" si="233"/>
        <v>0</v>
      </c>
    </row>
    <row r="416" spans="1:9" ht="31.5" x14ac:dyDescent="0.25">
      <c r="A416" s="25" t="s">
        <v>1244</v>
      </c>
      <c r="B416" s="20" t="s">
        <v>1241</v>
      </c>
      <c r="C416" s="40" t="s">
        <v>166</v>
      </c>
      <c r="D416" s="40" t="s">
        <v>254</v>
      </c>
      <c r="E416" s="40"/>
      <c r="F416" s="40"/>
      <c r="G416" s="10">
        <f>G417</f>
        <v>250</v>
      </c>
      <c r="H416" s="335">
        <f t="shared" ref="H416:H417" si="240">H417</f>
        <v>0</v>
      </c>
      <c r="I416" s="6">
        <f t="shared" si="233"/>
        <v>0</v>
      </c>
    </row>
    <row r="417" spans="1:9" ht="15.75" x14ac:dyDescent="0.25">
      <c r="A417" s="25" t="s">
        <v>151</v>
      </c>
      <c r="B417" s="20" t="s">
        <v>1241</v>
      </c>
      <c r="C417" s="40" t="s">
        <v>166</v>
      </c>
      <c r="D417" s="40" t="s">
        <v>254</v>
      </c>
      <c r="E417" s="40" t="s">
        <v>161</v>
      </c>
      <c r="F417" s="40"/>
      <c r="G417" s="10">
        <f>G418</f>
        <v>250</v>
      </c>
      <c r="H417" s="335">
        <f t="shared" si="240"/>
        <v>0</v>
      </c>
      <c r="I417" s="6">
        <f t="shared" si="233"/>
        <v>0</v>
      </c>
    </row>
    <row r="418" spans="1:9" ht="47.25" x14ac:dyDescent="0.25">
      <c r="A418" s="25" t="s">
        <v>200</v>
      </c>
      <c r="B418" s="20" t="s">
        <v>1241</v>
      </c>
      <c r="C418" s="40" t="s">
        <v>166</v>
      </c>
      <c r="D418" s="40" t="s">
        <v>254</v>
      </c>
      <c r="E418" s="40" t="s">
        <v>176</v>
      </c>
      <c r="F418" s="40"/>
      <c r="G418" s="10">
        <f>'Пр.3 Рд,пр, ЦС,ВР 20'!F326</f>
        <v>250</v>
      </c>
      <c r="H418" s="335">
        <f>'Пр.3 Рд,пр, ЦС,ВР 20'!G326</f>
        <v>0</v>
      </c>
      <c r="I418" s="6">
        <f t="shared" si="233"/>
        <v>0</v>
      </c>
    </row>
    <row r="419" spans="1:9" s="217" customFormat="1" ht="15.75" x14ac:dyDescent="0.25">
      <c r="A419" s="29" t="s">
        <v>164</v>
      </c>
      <c r="B419" s="20" t="s">
        <v>1241</v>
      </c>
      <c r="C419" s="40" t="s">
        <v>166</v>
      </c>
      <c r="D419" s="40" t="s">
        <v>254</v>
      </c>
      <c r="E419" s="40" t="s">
        <v>176</v>
      </c>
      <c r="F419" s="40" t="s">
        <v>658</v>
      </c>
      <c r="G419" s="10">
        <f>G418</f>
        <v>250</v>
      </c>
      <c r="H419" s="335">
        <f t="shared" ref="H419" si="241">H418</f>
        <v>0</v>
      </c>
      <c r="I419" s="6">
        <f t="shared" si="233"/>
        <v>0</v>
      </c>
    </row>
    <row r="420" spans="1:9" s="217" customFormat="1" ht="31.5" hidden="1" x14ac:dyDescent="0.25">
      <c r="A420" s="25" t="s">
        <v>255</v>
      </c>
      <c r="B420" s="20" t="s">
        <v>1242</v>
      </c>
      <c r="C420" s="40" t="s">
        <v>166</v>
      </c>
      <c r="D420" s="40" t="s">
        <v>254</v>
      </c>
      <c r="E420" s="40"/>
      <c r="F420" s="40"/>
      <c r="G420" s="10">
        <f>G421</f>
        <v>0</v>
      </c>
      <c r="H420" s="335">
        <f t="shared" ref="H420:H421" si="242">H421</f>
        <v>0</v>
      </c>
      <c r="I420" s="6" t="e">
        <f t="shared" si="233"/>
        <v>#DIV/0!</v>
      </c>
    </row>
    <row r="421" spans="1:9" s="217" customFormat="1" ht="15.75" hidden="1" x14ac:dyDescent="0.25">
      <c r="A421" s="25" t="s">
        <v>151</v>
      </c>
      <c r="B421" s="20" t="s">
        <v>1242</v>
      </c>
      <c r="C421" s="40" t="s">
        <v>166</v>
      </c>
      <c r="D421" s="40" t="s">
        <v>254</v>
      </c>
      <c r="E421" s="40" t="s">
        <v>161</v>
      </c>
      <c r="F421" s="40"/>
      <c r="G421" s="10">
        <f>G422</f>
        <v>0</v>
      </c>
      <c r="H421" s="335">
        <f t="shared" si="242"/>
        <v>0</v>
      </c>
      <c r="I421" s="6" t="e">
        <f t="shared" si="233"/>
        <v>#DIV/0!</v>
      </c>
    </row>
    <row r="422" spans="1:9" s="217" customFormat="1" ht="47.25" hidden="1" x14ac:dyDescent="0.25">
      <c r="A422" s="25" t="s">
        <v>200</v>
      </c>
      <c r="B422" s="20" t="s">
        <v>1242</v>
      </c>
      <c r="C422" s="40" t="s">
        <v>166</v>
      </c>
      <c r="D422" s="40" t="s">
        <v>254</v>
      </c>
      <c r="E422" s="40" t="s">
        <v>176</v>
      </c>
      <c r="F422" s="40"/>
      <c r="G422" s="10">
        <f>'Пр.3 Рд,пр, ЦС,ВР 20'!F329</f>
        <v>0</v>
      </c>
      <c r="H422" s="335">
        <f>'Пр.3 Рд,пр, ЦС,ВР 20'!G329</f>
        <v>0</v>
      </c>
      <c r="I422" s="6" t="e">
        <f t="shared" si="233"/>
        <v>#DIV/0!</v>
      </c>
    </row>
    <row r="423" spans="1:9" ht="15.75" hidden="1" x14ac:dyDescent="0.25">
      <c r="A423" s="29" t="s">
        <v>164</v>
      </c>
      <c r="B423" s="20" t="s">
        <v>1242</v>
      </c>
      <c r="C423" s="40" t="s">
        <v>166</v>
      </c>
      <c r="D423" s="40" t="s">
        <v>254</v>
      </c>
      <c r="E423" s="40" t="s">
        <v>176</v>
      </c>
      <c r="F423" s="40" t="s">
        <v>658</v>
      </c>
      <c r="G423" s="10">
        <f>G422</f>
        <v>0</v>
      </c>
      <c r="H423" s="335">
        <f t="shared" ref="H423" si="243">H422</f>
        <v>0</v>
      </c>
      <c r="I423" s="6" t="e">
        <f t="shared" si="233"/>
        <v>#DIV/0!</v>
      </c>
    </row>
    <row r="424" spans="1:9" ht="45.75" customHeight="1" x14ac:dyDescent="0.25">
      <c r="A424" s="41" t="s">
        <v>819</v>
      </c>
      <c r="B424" s="207" t="s">
        <v>178</v>
      </c>
      <c r="C424" s="7"/>
      <c r="D424" s="7"/>
      <c r="E424" s="7"/>
      <c r="F424" s="7"/>
      <c r="G424" s="59">
        <f>G425+G432+G451</f>
        <v>538</v>
      </c>
      <c r="H424" s="347">
        <f t="shared" ref="H424" si="244">H425+H432+H451</f>
        <v>279.90000000000003</v>
      </c>
      <c r="I424" s="4">
        <f t="shared" si="233"/>
        <v>52.026022304832722</v>
      </c>
    </row>
    <row r="425" spans="1:9" s="217" customFormat="1" ht="67.7" customHeight="1" x14ac:dyDescent="0.25">
      <c r="A425" s="233" t="s">
        <v>1155</v>
      </c>
      <c r="B425" s="7" t="s">
        <v>895</v>
      </c>
      <c r="C425" s="7"/>
      <c r="D425" s="8"/>
      <c r="E425" s="207"/>
      <c r="F425" s="7"/>
      <c r="G425" s="59">
        <f>G427</f>
        <v>446</v>
      </c>
      <c r="H425" s="347">
        <f t="shared" ref="H425" si="245">H427</f>
        <v>261.60000000000002</v>
      </c>
      <c r="I425" s="4">
        <f t="shared" si="233"/>
        <v>58.654708520179376</v>
      </c>
    </row>
    <row r="426" spans="1:9" s="217" customFormat="1" ht="15.75" customHeight="1" x14ac:dyDescent="0.25">
      <c r="A426" s="45" t="s">
        <v>133</v>
      </c>
      <c r="B426" s="5" t="s">
        <v>895</v>
      </c>
      <c r="C426" s="40" t="s">
        <v>134</v>
      </c>
      <c r="D426" s="5"/>
      <c r="E426" s="5"/>
      <c r="F426" s="40"/>
      <c r="G426" s="10">
        <f t="shared" ref="G426:H427" si="246">G427</f>
        <v>446</v>
      </c>
      <c r="H426" s="335">
        <f t="shared" si="246"/>
        <v>261.60000000000002</v>
      </c>
      <c r="I426" s="6">
        <f t="shared" si="233"/>
        <v>58.654708520179376</v>
      </c>
    </row>
    <row r="427" spans="1:9" s="217" customFormat="1" ht="45.75" customHeight="1" x14ac:dyDescent="0.25">
      <c r="A427" s="29" t="s">
        <v>165</v>
      </c>
      <c r="B427" s="5" t="s">
        <v>895</v>
      </c>
      <c r="C427" s="40" t="s">
        <v>134</v>
      </c>
      <c r="D427" s="9" t="s">
        <v>166</v>
      </c>
      <c r="E427" s="5"/>
      <c r="F427" s="40"/>
      <c r="G427" s="10">
        <f>G428</f>
        <v>446</v>
      </c>
      <c r="H427" s="335">
        <f t="shared" si="246"/>
        <v>261.60000000000002</v>
      </c>
      <c r="I427" s="6">
        <f t="shared" si="233"/>
        <v>58.654708520179376</v>
      </c>
    </row>
    <row r="428" spans="1:9" s="217" customFormat="1" ht="36" customHeight="1" x14ac:dyDescent="0.25">
      <c r="A428" s="29" t="s">
        <v>179</v>
      </c>
      <c r="B428" s="40" t="s">
        <v>887</v>
      </c>
      <c r="C428" s="40" t="s">
        <v>134</v>
      </c>
      <c r="D428" s="9" t="s">
        <v>166</v>
      </c>
      <c r="E428" s="40"/>
      <c r="F428" s="40"/>
      <c r="G428" s="10">
        <f t="shared" ref="G428:H429" si="247">G429</f>
        <v>446</v>
      </c>
      <c r="H428" s="335">
        <f t="shared" si="247"/>
        <v>261.60000000000002</v>
      </c>
      <c r="I428" s="6">
        <f t="shared" si="233"/>
        <v>58.654708520179376</v>
      </c>
    </row>
    <row r="429" spans="1:9" s="217" customFormat="1" ht="34.5" customHeight="1" x14ac:dyDescent="0.25">
      <c r="A429" s="29" t="s">
        <v>147</v>
      </c>
      <c r="B429" s="40" t="s">
        <v>887</v>
      </c>
      <c r="C429" s="40" t="s">
        <v>134</v>
      </c>
      <c r="D429" s="9" t="s">
        <v>166</v>
      </c>
      <c r="E429" s="40" t="s">
        <v>148</v>
      </c>
      <c r="F429" s="40"/>
      <c r="G429" s="10">
        <f t="shared" si="247"/>
        <v>446</v>
      </c>
      <c r="H429" s="335">
        <f t="shared" si="247"/>
        <v>261.60000000000002</v>
      </c>
      <c r="I429" s="6">
        <f t="shared" si="233"/>
        <v>58.654708520179376</v>
      </c>
    </row>
    <row r="430" spans="1:9" s="217" customFormat="1" ht="36" customHeight="1" x14ac:dyDescent="0.25">
      <c r="A430" s="29" t="s">
        <v>149</v>
      </c>
      <c r="B430" s="40" t="s">
        <v>887</v>
      </c>
      <c r="C430" s="40" t="s">
        <v>134</v>
      </c>
      <c r="D430" s="9" t="s">
        <v>166</v>
      </c>
      <c r="E430" s="40" t="s">
        <v>150</v>
      </c>
      <c r="F430" s="40"/>
      <c r="G430" s="10">
        <f>'Пр.3 Рд,пр, ЦС,ВР 20'!F90</f>
        <v>446</v>
      </c>
      <c r="H430" s="335">
        <f>'Пр.3 Рд,пр, ЦС,ВР 20'!G90</f>
        <v>261.60000000000002</v>
      </c>
      <c r="I430" s="6">
        <f t="shared" si="233"/>
        <v>58.654708520179376</v>
      </c>
    </row>
    <row r="431" spans="1:9" s="217" customFormat="1" ht="20.25" customHeight="1" x14ac:dyDescent="0.25">
      <c r="A431" s="29" t="s">
        <v>164</v>
      </c>
      <c r="B431" s="40" t="s">
        <v>887</v>
      </c>
      <c r="C431" s="40" t="s">
        <v>134</v>
      </c>
      <c r="D431" s="9" t="s">
        <v>166</v>
      </c>
      <c r="E431" s="40" t="s">
        <v>150</v>
      </c>
      <c r="F431" s="40" t="s">
        <v>658</v>
      </c>
      <c r="G431" s="10">
        <f>G430</f>
        <v>446</v>
      </c>
      <c r="H431" s="335">
        <f t="shared" ref="H431" si="248">H430</f>
        <v>261.60000000000002</v>
      </c>
      <c r="I431" s="6">
        <f t="shared" si="233"/>
        <v>58.654708520179376</v>
      </c>
    </row>
    <row r="432" spans="1:9" s="217" customFormat="1" ht="63" customHeight="1" x14ac:dyDescent="0.25">
      <c r="A432" s="232" t="s">
        <v>889</v>
      </c>
      <c r="B432" s="7" t="s">
        <v>896</v>
      </c>
      <c r="C432" s="7"/>
      <c r="D432" s="8"/>
      <c r="E432" s="207"/>
      <c r="F432" s="7"/>
      <c r="G432" s="59">
        <f>G433</f>
        <v>91.5</v>
      </c>
      <c r="H432" s="347">
        <f t="shared" ref="H432" si="249">H433</f>
        <v>18.3</v>
      </c>
      <c r="I432" s="4">
        <f t="shared" si="233"/>
        <v>20</v>
      </c>
    </row>
    <row r="433" spans="1:9" ht="15.75" x14ac:dyDescent="0.25">
      <c r="A433" s="45" t="s">
        <v>133</v>
      </c>
      <c r="B433" s="5" t="s">
        <v>896</v>
      </c>
      <c r="C433" s="40" t="s">
        <v>134</v>
      </c>
      <c r="D433" s="5"/>
      <c r="E433" s="5"/>
      <c r="F433" s="40"/>
      <c r="G433" s="10">
        <f>G434+G443</f>
        <v>91.5</v>
      </c>
      <c r="H433" s="335">
        <f t="shared" ref="H433" si="250">H434+H443</f>
        <v>18.3</v>
      </c>
      <c r="I433" s="6">
        <f t="shared" si="233"/>
        <v>20</v>
      </c>
    </row>
    <row r="434" spans="1:9" ht="47.25" x14ac:dyDescent="0.25">
      <c r="A434" s="29" t="s">
        <v>591</v>
      </c>
      <c r="B434" s="5" t="s">
        <v>896</v>
      </c>
      <c r="C434" s="40" t="s">
        <v>134</v>
      </c>
      <c r="D434" s="9" t="s">
        <v>229</v>
      </c>
      <c r="E434" s="5"/>
      <c r="F434" s="40"/>
      <c r="G434" s="10">
        <f>G435+G439</f>
        <v>15</v>
      </c>
      <c r="H434" s="335">
        <f t="shared" ref="H434" si="251">H435+H439</f>
        <v>0</v>
      </c>
      <c r="I434" s="6">
        <f t="shared" si="233"/>
        <v>0</v>
      </c>
    </row>
    <row r="435" spans="1:9" s="217" customFormat="1" ht="47.25" x14ac:dyDescent="0.25">
      <c r="A435" s="31" t="s">
        <v>712</v>
      </c>
      <c r="B435" s="40" t="s">
        <v>1142</v>
      </c>
      <c r="C435" s="40" t="s">
        <v>134</v>
      </c>
      <c r="D435" s="9" t="s">
        <v>229</v>
      </c>
      <c r="E435" s="5"/>
      <c r="F435" s="40"/>
      <c r="G435" s="10">
        <f>G436</f>
        <v>1</v>
      </c>
      <c r="H435" s="335">
        <f t="shared" ref="H435:H436" si="252">H436</f>
        <v>0</v>
      </c>
      <c r="I435" s="6">
        <f t="shared" si="233"/>
        <v>0</v>
      </c>
    </row>
    <row r="436" spans="1:9" s="217" customFormat="1" ht="31.5" x14ac:dyDescent="0.25">
      <c r="A436" s="25" t="s">
        <v>147</v>
      </c>
      <c r="B436" s="40" t="s">
        <v>1142</v>
      </c>
      <c r="C436" s="40" t="s">
        <v>134</v>
      </c>
      <c r="D436" s="9" t="s">
        <v>229</v>
      </c>
      <c r="E436" s="5">
        <v>200</v>
      </c>
      <c r="F436" s="40"/>
      <c r="G436" s="10">
        <f>G437</f>
        <v>1</v>
      </c>
      <c r="H436" s="335">
        <f t="shared" si="252"/>
        <v>0</v>
      </c>
      <c r="I436" s="6">
        <f t="shared" si="233"/>
        <v>0</v>
      </c>
    </row>
    <row r="437" spans="1:9" s="217" customFormat="1" ht="31.5" x14ac:dyDescent="0.25">
      <c r="A437" s="25" t="s">
        <v>149</v>
      </c>
      <c r="B437" s="40" t="s">
        <v>713</v>
      </c>
      <c r="C437" s="40" t="s">
        <v>134</v>
      </c>
      <c r="D437" s="9" t="s">
        <v>229</v>
      </c>
      <c r="E437" s="5">
        <v>240</v>
      </c>
      <c r="F437" s="40"/>
      <c r="G437" s="10">
        <f>'Пр.3 Рд,пр, ЦС,ВР 20'!F26</f>
        <v>1</v>
      </c>
      <c r="H437" s="335">
        <f>'Пр.3 Рд,пр, ЦС,ВР 20'!G26</f>
        <v>0</v>
      </c>
      <c r="I437" s="6">
        <f t="shared" si="233"/>
        <v>0</v>
      </c>
    </row>
    <row r="438" spans="1:9" s="217" customFormat="1" ht="31.5" x14ac:dyDescent="0.25">
      <c r="A438" s="45" t="s">
        <v>590</v>
      </c>
      <c r="B438" s="40" t="s">
        <v>713</v>
      </c>
      <c r="C438" s="40" t="s">
        <v>134</v>
      </c>
      <c r="D438" s="9" t="s">
        <v>229</v>
      </c>
      <c r="E438" s="5">
        <v>240</v>
      </c>
      <c r="F438" s="40" t="s">
        <v>814</v>
      </c>
      <c r="G438" s="10">
        <f>G437</f>
        <v>1</v>
      </c>
      <c r="H438" s="335">
        <f t="shared" ref="H438" si="253">H437</f>
        <v>0</v>
      </c>
      <c r="I438" s="6">
        <f t="shared" si="233"/>
        <v>0</v>
      </c>
    </row>
    <row r="439" spans="1:9" s="217" customFormat="1" ht="47.25" x14ac:dyDescent="0.25">
      <c r="A439" s="31" t="s">
        <v>712</v>
      </c>
      <c r="B439" s="20" t="s">
        <v>1141</v>
      </c>
      <c r="C439" s="40" t="s">
        <v>134</v>
      </c>
      <c r="D439" s="9" t="s">
        <v>229</v>
      </c>
      <c r="E439" s="5"/>
      <c r="F439" s="40"/>
      <c r="G439" s="10">
        <f>G440</f>
        <v>14</v>
      </c>
      <c r="H439" s="335">
        <f t="shared" ref="H439:H440" si="254">H440</f>
        <v>0</v>
      </c>
      <c r="I439" s="6">
        <f t="shared" si="233"/>
        <v>0</v>
      </c>
    </row>
    <row r="440" spans="1:9" s="217" customFormat="1" ht="31.5" x14ac:dyDescent="0.25">
      <c r="A440" s="25" t="s">
        <v>147</v>
      </c>
      <c r="B440" s="20" t="s">
        <v>1141</v>
      </c>
      <c r="C440" s="40" t="s">
        <v>134</v>
      </c>
      <c r="D440" s="9" t="s">
        <v>229</v>
      </c>
      <c r="E440" s="5">
        <v>200</v>
      </c>
      <c r="F440" s="40"/>
      <c r="G440" s="10">
        <f>G441</f>
        <v>14</v>
      </c>
      <c r="H440" s="335">
        <f t="shared" si="254"/>
        <v>0</v>
      </c>
      <c r="I440" s="6">
        <f t="shared" si="233"/>
        <v>0</v>
      </c>
    </row>
    <row r="441" spans="1:9" s="217" customFormat="1" ht="31.5" x14ac:dyDescent="0.25">
      <c r="A441" s="25" t="s">
        <v>149</v>
      </c>
      <c r="B441" s="20" t="s">
        <v>1141</v>
      </c>
      <c r="C441" s="40" t="s">
        <v>134</v>
      </c>
      <c r="D441" s="9" t="s">
        <v>229</v>
      </c>
      <c r="E441" s="5">
        <v>240</v>
      </c>
      <c r="F441" s="40"/>
      <c r="G441" s="10">
        <f>'Пр.3 Рд,пр, ЦС,ВР 20'!F29</f>
        <v>14</v>
      </c>
      <c r="H441" s="335">
        <f>'Пр.3 Рд,пр, ЦС,ВР 20'!G29</f>
        <v>0</v>
      </c>
      <c r="I441" s="6">
        <f t="shared" si="233"/>
        <v>0</v>
      </c>
    </row>
    <row r="442" spans="1:9" s="217" customFormat="1" ht="31.5" x14ac:dyDescent="0.25">
      <c r="A442" s="45" t="s">
        <v>590</v>
      </c>
      <c r="B442" s="20" t="s">
        <v>1141</v>
      </c>
      <c r="C442" s="40" t="s">
        <v>134</v>
      </c>
      <c r="D442" s="9" t="s">
        <v>229</v>
      </c>
      <c r="E442" s="5">
        <v>240</v>
      </c>
      <c r="F442" s="40" t="s">
        <v>814</v>
      </c>
      <c r="G442" s="10">
        <f>G441</f>
        <v>14</v>
      </c>
      <c r="H442" s="335">
        <f t="shared" ref="H442" si="255">H441</f>
        <v>0</v>
      </c>
      <c r="I442" s="6">
        <f t="shared" si="233"/>
        <v>0</v>
      </c>
    </row>
    <row r="443" spans="1:9" s="217" customFormat="1" ht="63" x14ac:dyDescent="0.25">
      <c r="A443" s="29" t="s">
        <v>165</v>
      </c>
      <c r="B443" s="5" t="s">
        <v>896</v>
      </c>
      <c r="C443" s="40" t="s">
        <v>134</v>
      </c>
      <c r="D443" s="9" t="s">
        <v>166</v>
      </c>
      <c r="E443" s="5"/>
      <c r="F443" s="40"/>
      <c r="G443" s="10">
        <f>G444</f>
        <v>76.5</v>
      </c>
      <c r="H443" s="335">
        <f t="shared" ref="H443" si="256">H444</f>
        <v>18.3</v>
      </c>
      <c r="I443" s="6">
        <f t="shared" si="233"/>
        <v>23.921568627450981</v>
      </c>
    </row>
    <row r="444" spans="1:9" ht="47.25" x14ac:dyDescent="0.25">
      <c r="A444" s="178" t="s">
        <v>181</v>
      </c>
      <c r="B444" s="40" t="s">
        <v>888</v>
      </c>
      <c r="C444" s="40" t="s">
        <v>134</v>
      </c>
      <c r="D444" s="9" t="s">
        <v>166</v>
      </c>
      <c r="E444" s="40"/>
      <c r="F444" s="40"/>
      <c r="G444" s="10">
        <f>G445+G448</f>
        <v>76.5</v>
      </c>
      <c r="H444" s="335">
        <f t="shared" ref="H444" si="257">H445+H448</f>
        <v>18.3</v>
      </c>
      <c r="I444" s="6">
        <f t="shared" si="233"/>
        <v>23.921568627450981</v>
      </c>
    </row>
    <row r="445" spans="1:9" ht="78.75" x14ac:dyDescent="0.25">
      <c r="A445" s="25" t="s">
        <v>143</v>
      </c>
      <c r="B445" s="40" t="s">
        <v>888</v>
      </c>
      <c r="C445" s="40" t="s">
        <v>134</v>
      </c>
      <c r="D445" s="9" t="s">
        <v>166</v>
      </c>
      <c r="E445" s="40" t="s">
        <v>144</v>
      </c>
      <c r="F445" s="40"/>
      <c r="G445" s="10">
        <f t="shared" ref="G445:H445" si="258">G446</f>
        <v>37</v>
      </c>
      <c r="H445" s="335">
        <f t="shared" si="258"/>
        <v>0</v>
      </c>
      <c r="I445" s="6">
        <f t="shared" si="233"/>
        <v>0</v>
      </c>
    </row>
    <row r="446" spans="1:9" ht="31.5" x14ac:dyDescent="0.25">
      <c r="A446" s="25" t="s">
        <v>145</v>
      </c>
      <c r="B446" s="40" t="s">
        <v>888</v>
      </c>
      <c r="C446" s="40" t="s">
        <v>134</v>
      </c>
      <c r="D446" s="9" t="s">
        <v>166</v>
      </c>
      <c r="E446" s="40" t="s">
        <v>146</v>
      </c>
      <c r="F446" s="40"/>
      <c r="G446" s="10">
        <f>'Пр.3 Рд,пр, ЦС,ВР 20'!F94</f>
        <v>37</v>
      </c>
      <c r="H446" s="335">
        <f>'Пр.3 Рд,пр, ЦС,ВР 20'!G94</f>
        <v>0</v>
      </c>
      <c r="I446" s="6">
        <f t="shared" si="233"/>
        <v>0</v>
      </c>
    </row>
    <row r="447" spans="1:9" s="217" customFormat="1" ht="15.75" x14ac:dyDescent="0.25">
      <c r="A447" s="29" t="s">
        <v>164</v>
      </c>
      <c r="B447" s="40" t="s">
        <v>888</v>
      </c>
      <c r="C447" s="40" t="s">
        <v>134</v>
      </c>
      <c r="D447" s="9" t="s">
        <v>166</v>
      </c>
      <c r="E447" s="40" t="s">
        <v>146</v>
      </c>
      <c r="F447" s="40" t="s">
        <v>658</v>
      </c>
      <c r="G447" s="10">
        <f>G446</f>
        <v>37</v>
      </c>
      <c r="H447" s="335">
        <f t="shared" ref="H447" si="259">H446</f>
        <v>0</v>
      </c>
      <c r="I447" s="6">
        <f t="shared" si="233"/>
        <v>0</v>
      </c>
    </row>
    <row r="448" spans="1:9" ht="31.5" x14ac:dyDescent="0.25">
      <c r="A448" s="25" t="s">
        <v>147</v>
      </c>
      <c r="B448" s="40" t="s">
        <v>888</v>
      </c>
      <c r="C448" s="40" t="s">
        <v>134</v>
      </c>
      <c r="D448" s="9" t="s">
        <v>166</v>
      </c>
      <c r="E448" s="40" t="s">
        <v>148</v>
      </c>
      <c r="F448" s="40"/>
      <c r="G448" s="10">
        <f t="shared" ref="G448:H448" si="260">G449</f>
        <v>39.5</v>
      </c>
      <c r="H448" s="335">
        <f t="shared" si="260"/>
        <v>18.3</v>
      </c>
      <c r="I448" s="6">
        <f t="shared" si="233"/>
        <v>46.329113924050638</v>
      </c>
    </row>
    <row r="449" spans="1:9" ht="31.5" x14ac:dyDescent="0.25">
      <c r="A449" s="25" t="s">
        <v>149</v>
      </c>
      <c r="B449" s="40" t="s">
        <v>888</v>
      </c>
      <c r="C449" s="40" t="s">
        <v>134</v>
      </c>
      <c r="D449" s="9" t="s">
        <v>166</v>
      </c>
      <c r="E449" s="40" t="s">
        <v>150</v>
      </c>
      <c r="F449" s="40"/>
      <c r="G449" s="10">
        <f>'Пр.3 Рд,пр, ЦС,ВР 20'!F96</f>
        <v>39.5</v>
      </c>
      <c r="H449" s="335">
        <f>'Пр.3 Рд,пр, ЦС,ВР 20'!G96</f>
        <v>18.3</v>
      </c>
      <c r="I449" s="6">
        <f t="shared" si="233"/>
        <v>46.329113924050638</v>
      </c>
    </row>
    <row r="450" spans="1:9" s="217" customFormat="1" ht="19.5" customHeight="1" x14ac:dyDescent="0.25">
      <c r="A450" s="29" t="s">
        <v>164</v>
      </c>
      <c r="B450" s="40" t="s">
        <v>888</v>
      </c>
      <c r="C450" s="40" t="s">
        <v>134</v>
      </c>
      <c r="D450" s="9" t="s">
        <v>166</v>
      </c>
      <c r="E450" s="40" t="s">
        <v>150</v>
      </c>
      <c r="F450" s="40" t="s">
        <v>658</v>
      </c>
      <c r="G450" s="10">
        <f>G449</f>
        <v>39.5</v>
      </c>
      <c r="H450" s="335">
        <f t="shared" ref="H450" si="261">H449</f>
        <v>18.3</v>
      </c>
      <c r="I450" s="6">
        <f t="shared" si="233"/>
        <v>46.329113924050638</v>
      </c>
    </row>
    <row r="451" spans="1:9" s="217" customFormat="1" ht="63" x14ac:dyDescent="0.25">
      <c r="A451" s="234" t="s">
        <v>1156</v>
      </c>
      <c r="B451" s="7" t="s">
        <v>897</v>
      </c>
      <c r="C451" s="7"/>
      <c r="D451" s="8"/>
      <c r="E451" s="7"/>
      <c r="F451" s="7"/>
      <c r="G451" s="59">
        <f>G452</f>
        <v>0.5</v>
      </c>
      <c r="H451" s="347">
        <f t="shared" ref="H451:H455" si="262">H452</f>
        <v>0</v>
      </c>
      <c r="I451" s="4">
        <f t="shared" si="233"/>
        <v>0</v>
      </c>
    </row>
    <row r="452" spans="1:9" s="217" customFormat="1" ht="15.75" x14ac:dyDescent="0.25">
      <c r="A452" s="45" t="s">
        <v>133</v>
      </c>
      <c r="B452" s="40" t="s">
        <v>897</v>
      </c>
      <c r="C452" s="40" t="s">
        <v>134</v>
      </c>
      <c r="D452" s="9"/>
      <c r="E452" s="7"/>
      <c r="F452" s="7"/>
      <c r="G452" s="10">
        <f>G453</f>
        <v>0.5</v>
      </c>
      <c r="H452" s="335">
        <f t="shared" si="262"/>
        <v>0</v>
      </c>
      <c r="I452" s="6">
        <f t="shared" si="233"/>
        <v>0</v>
      </c>
    </row>
    <row r="453" spans="1:9" s="217" customFormat="1" ht="63" x14ac:dyDescent="0.25">
      <c r="A453" s="29" t="s">
        <v>165</v>
      </c>
      <c r="B453" s="40" t="s">
        <v>897</v>
      </c>
      <c r="C453" s="40" t="s">
        <v>134</v>
      </c>
      <c r="D453" s="9" t="s">
        <v>166</v>
      </c>
      <c r="E453" s="7"/>
      <c r="F453" s="7"/>
      <c r="G453" s="10">
        <f>G454</f>
        <v>0.5</v>
      </c>
      <c r="H453" s="335">
        <f t="shared" si="262"/>
        <v>0</v>
      </c>
      <c r="I453" s="6">
        <f t="shared" si="233"/>
        <v>0</v>
      </c>
    </row>
    <row r="454" spans="1:9" s="217" customFormat="1" ht="47.25" x14ac:dyDescent="0.25">
      <c r="A454" s="33" t="s">
        <v>207</v>
      </c>
      <c r="B454" s="40" t="s">
        <v>890</v>
      </c>
      <c r="C454" s="40" t="s">
        <v>134</v>
      </c>
      <c r="D454" s="9" t="s">
        <v>166</v>
      </c>
      <c r="E454" s="40"/>
      <c r="F454" s="40"/>
      <c r="G454" s="10">
        <f>G455</f>
        <v>0.5</v>
      </c>
      <c r="H454" s="335">
        <f t="shared" si="262"/>
        <v>0</v>
      </c>
      <c r="I454" s="6">
        <f t="shared" si="233"/>
        <v>0</v>
      </c>
    </row>
    <row r="455" spans="1:9" s="217" customFormat="1" ht="31.5" x14ac:dyDescent="0.25">
      <c r="A455" s="25" t="s">
        <v>147</v>
      </c>
      <c r="B455" s="40" t="s">
        <v>890</v>
      </c>
      <c r="C455" s="40" t="s">
        <v>134</v>
      </c>
      <c r="D455" s="9" t="s">
        <v>166</v>
      </c>
      <c r="E455" s="40" t="s">
        <v>148</v>
      </c>
      <c r="F455" s="40"/>
      <c r="G455" s="10">
        <f>G456</f>
        <v>0.5</v>
      </c>
      <c r="H455" s="335">
        <f t="shared" si="262"/>
        <v>0</v>
      </c>
      <c r="I455" s="6">
        <f t="shared" si="233"/>
        <v>0</v>
      </c>
    </row>
    <row r="456" spans="1:9" s="217" customFormat="1" ht="31.5" x14ac:dyDescent="0.25">
      <c r="A456" s="25" t="s">
        <v>149</v>
      </c>
      <c r="B456" s="40" t="s">
        <v>890</v>
      </c>
      <c r="C456" s="40" t="s">
        <v>134</v>
      </c>
      <c r="D456" s="9" t="s">
        <v>166</v>
      </c>
      <c r="E456" s="40" t="s">
        <v>150</v>
      </c>
      <c r="F456" s="40"/>
      <c r="G456" s="10">
        <f>'Пр.3 Рд,пр, ЦС,ВР 20'!F100</f>
        <v>0.5</v>
      </c>
      <c r="H456" s="335">
        <f>'Пр.3 Рд,пр, ЦС,ВР 20'!G100</f>
        <v>0</v>
      </c>
      <c r="I456" s="6">
        <f t="shared" si="233"/>
        <v>0</v>
      </c>
    </row>
    <row r="457" spans="1:9" s="217" customFormat="1" ht="15.75" x14ac:dyDescent="0.25">
      <c r="A457" s="29" t="s">
        <v>164</v>
      </c>
      <c r="B457" s="40" t="s">
        <v>890</v>
      </c>
      <c r="C457" s="40" t="s">
        <v>134</v>
      </c>
      <c r="D457" s="9" t="s">
        <v>166</v>
      </c>
      <c r="E457" s="40" t="s">
        <v>150</v>
      </c>
      <c r="F457" s="40" t="s">
        <v>658</v>
      </c>
      <c r="G457" s="10">
        <f>G456</f>
        <v>0.5</v>
      </c>
      <c r="H457" s="335">
        <f t="shared" ref="H457" si="263">H456</f>
        <v>0</v>
      </c>
      <c r="I457" s="6">
        <f t="shared" si="233"/>
        <v>0</v>
      </c>
    </row>
    <row r="458" spans="1:9" s="217" customFormat="1" ht="47.25" hidden="1" x14ac:dyDescent="0.25">
      <c r="A458" s="33" t="s">
        <v>207</v>
      </c>
      <c r="B458" s="20" t="s">
        <v>891</v>
      </c>
      <c r="C458" s="40" t="s">
        <v>134</v>
      </c>
      <c r="D458" s="9" t="s">
        <v>166</v>
      </c>
      <c r="E458" s="40"/>
      <c r="F458" s="40"/>
      <c r="G458" s="10">
        <f>G459</f>
        <v>0</v>
      </c>
      <c r="H458" s="335">
        <f t="shared" ref="H458:H459" si="264">H459</f>
        <v>0</v>
      </c>
      <c r="I458" s="6" t="e">
        <f t="shared" si="233"/>
        <v>#DIV/0!</v>
      </c>
    </row>
    <row r="459" spans="1:9" s="217" customFormat="1" ht="31.5" hidden="1" x14ac:dyDescent="0.25">
      <c r="A459" s="25" t="s">
        <v>147</v>
      </c>
      <c r="B459" s="20" t="s">
        <v>891</v>
      </c>
      <c r="C459" s="40" t="s">
        <v>134</v>
      </c>
      <c r="D459" s="9" t="s">
        <v>166</v>
      </c>
      <c r="E459" s="40" t="s">
        <v>148</v>
      </c>
      <c r="F459" s="40"/>
      <c r="G459" s="10">
        <f>G460</f>
        <v>0</v>
      </c>
      <c r="H459" s="335">
        <f t="shared" si="264"/>
        <v>0</v>
      </c>
      <c r="I459" s="6" t="e">
        <f t="shared" si="233"/>
        <v>#DIV/0!</v>
      </c>
    </row>
    <row r="460" spans="1:9" s="217" customFormat="1" ht="31.5" hidden="1" x14ac:dyDescent="0.25">
      <c r="A460" s="25" t="s">
        <v>149</v>
      </c>
      <c r="B460" s="20" t="s">
        <v>891</v>
      </c>
      <c r="C460" s="40" t="s">
        <v>134</v>
      </c>
      <c r="D460" s="9" t="s">
        <v>166</v>
      </c>
      <c r="E460" s="40" t="s">
        <v>150</v>
      </c>
      <c r="F460" s="40"/>
      <c r="G460" s="10">
        <f>'Пр.3 Рд,пр, ЦС,ВР 20'!F103</f>
        <v>0</v>
      </c>
      <c r="H460" s="335">
        <f>'Пр.3 Рд,пр, ЦС,ВР 20'!G103</f>
        <v>0</v>
      </c>
      <c r="I460" s="6" t="e">
        <f t="shared" si="233"/>
        <v>#DIV/0!</v>
      </c>
    </row>
    <row r="461" spans="1:9" ht="15.75" hidden="1" x14ac:dyDescent="0.25">
      <c r="A461" s="29" t="s">
        <v>164</v>
      </c>
      <c r="B461" s="20" t="s">
        <v>891</v>
      </c>
      <c r="C461" s="40" t="s">
        <v>134</v>
      </c>
      <c r="D461" s="9" t="s">
        <v>166</v>
      </c>
      <c r="E461" s="40" t="s">
        <v>150</v>
      </c>
      <c r="F461" s="40" t="s">
        <v>658</v>
      </c>
      <c r="G461" s="10">
        <f>G460</f>
        <v>0</v>
      </c>
      <c r="H461" s="335">
        <f t="shared" ref="H461" si="265">H460</f>
        <v>0</v>
      </c>
      <c r="I461" s="6" t="e">
        <f t="shared" si="233"/>
        <v>#DIV/0!</v>
      </c>
    </row>
    <row r="462" spans="1:9" ht="70.5" customHeight="1" x14ac:dyDescent="0.25">
      <c r="A462" s="41" t="s">
        <v>269</v>
      </c>
      <c r="B462" s="207" t="s">
        <v>270</v>
      </c>
      <c r="C462" s="40"/>
      <c r="D462" s="40"/>
      <c r="E462" s="40"/>
      <c r="F462" s="40"/>
      <c r="G462" s="59">
        <f t="shared" ref="G462:H462" si="266">G464</f>
        <v>10</v>
      </c>
      <c r="H462" s="347">
        <f t="shared" si="266"/>
        <v>0</v>
      </c>
      <c r="I462" s="4">
        <f t="shared" si="233"/>
        <v>0</v>
      </c>
    </row>
    <row r="463" spans="1:9" s="217" customFormat="1" ht="54" customHeight="1" x14ac:dyDescent="0.25">
      <c r="A463" s="23" t="s">
        <v>931</v>
      </c>
      <c r="B463" s="24" t="s">
        <v>929</v>
      </c>
      <c r="C463" s="40"/>
      <c r="D463" s="40"/>
      <c r="E463" s="40"/>
      <c r="F463" s="40"/>
      <c r="G463" s="59">
        <f>G464</f>
        <v>10</v>
      </c>
      <c r="H463" s="347">
        <f t="shared" ref="H463:H465" si="267">H464</f>
        <v>0</v>
      </c>
      <c r="I463" s="4">
        <f t="shared" si="233"/>
        <v>0</v>
      </c>
    </row>
    <row r="464" spans="1:9" ht="15.75" x14ac:dyDescent="0.25">
      <c r="A464" s="29" t="s">
        <v>259</v>
      </c>
      <c r="B464" s="5" t="s">
        <v>929</v>
      </c>
      <c r="C464" s="40" t="s">
        <v>260</v>
      </c>
      <c r="D464" s="40"/>
      <c r="E464" s="40"/>
      <c r="F464" s="40"/>
      <c r="G464" s="10">
        <f>G465</f>
        <v>10</v>
      </c>
      <c r="H464" s="335">
        <f t="shared" si="267"/>
        <v>0</v>
      </c>
      <c r="I464" s="6">
        <f t="shared" si="233"/>
        <v>0</v>
      </c>
    </row>
    <row r="465" spans="1:9" ht="22.7" customHeight="1" x14ac:dyDescent="0.25">
      <c r="A465" s="29" t="s">
        <v>268</v>
      </c>
      <c r="B465" s="5" t="s">
        <v>929</v>
      </c>
      <c r="C465" s="40" t="s">
        <v>260</v>
      </c>
      <c r="D465" s="40" t="s">
        <v>231</v>
      </c>
      <c r="E465" s="40"/>
      <c r="F465" s="40"/>
      <c r="G465" s="10">
        <f>G466</f>
        <v>10</v>
      </c>
      <c r="H465" s="335">
        <f t="shared" si="267"/>
        <v>0</v>
      </c>
      <c r="I465" s="6">
        <f t="shared" si="233"/>
        <v>0</v>
      </c>
    </row>
    <row r="466" spans="1:9" ht="31.5" x14ac:dyDescent="0.25">
      <c r="A466" s="25" t="s">
        <v>930</v>
      </c>
      <c r="B466" s="20" t="s">
        <v>1470</v>
      </c>
      <c r="C466" s="40" t="s">
        <v>260</v>
      </c>
      <c r="D466" s="40" t="s">
        <v>231</v>
      </c>
      <c r="E466" s="40"/>
      <c r="F466" s="40"/>
      <c r="G466" s="10">
        <f t="shared" ref="G466:H467" si="268">G467</f>
        <v>10</v>
      </c>
      <c r="H466" s="335">
        <f t="shared" si="268"/>
        <v>0</v>
      </c>
      <c r="I466" s="6">
        <f t="shared" si="233"/>
        <v>0</v>
      </c>
    </row>
    <row r="467" spans="1:9" ht="21.75" customHeight="1" x14ac:dyDescent="0.25">
      <c r="A467" s="25" t="s">
        <v>264</v>
      </c>
      <c r="B467" s="20" t="s">
        <v>1470</v>
      </c>
      <c r="C467" s="40" t="s">
        <v>260</v>
      </c>
      <c r="D467" s="40" t="s">
        <v>231</v>
      </c>
      <c r="E467" s="40" t="s">
        <v>265</v>
      </c>
      <c r="F467" s="40"/>
      <c r="G467" s="10">
        <f t="shared" si="268"/>
        <v>10</v>
      </c>
      <c r="H467" s="335">
        <f t="shared" si="268"/>
        <v>0</v>
      </c>
      <c r="I467" s="6">
        <f t="shared" ref="I467:I530" si="269">H467/G467*100</f>
        <v>0</v>
      </c>
    </row>
    <row r="468" spans="1:9" ht="31.7" customHeight="1" x14ac:dyDescent="0.25">
      <c r="A468" s="25" t="s">
        <v>266</v>
      </c>
      <c r="B468" s="20" t="s">
        <v>1470</v>
      </c>
      <c r="C468" s="40" t="s">
        <v>260</v>
      </c>
      <c r="D468" s="40" t="s">
        <v>231</v>
      </c>
      <c r="E468" s="40" t="s">
        <v>267</v>
      </c>
      <c r="F468" s="40"/>
      <c r="G468" s="10">
        <f>'Пр.4 ведом.20'!G202</f>
        <v>10</v>
      </c>
      <c r="H468" s="335">
        <f>'Пр.4 ведом.20'!H202</f>
        <v>0</v>
      </c>
      <c r="I468" s="6">
        <f t="shared" si="269"/>
        <v>0</v>
      </c>
    </row>
    <row r="469" spans="1:9" ht="15.75" x14ac:dyDescent="0.25">
      <c r="A469" s="45" t="s">
        <v>164</v>
      </c>
      <c r="B469" s="20" t="s">
        <v>1470</v>
      </c>
      <c r="C469" s="40" t="s">
        <v>260</v>
      </c>
      <c r="D469" s="40" t="s">
        <v>231</v>
      </c>
      <c r="E469" s="40" t="s">
        <v>267</v>
      </c>
      <c r="F469" s="40" t="s">
        <v>658</v>
      </c>
      <c r="G469" s="10">
        <f>G468</f>
        <v>10</v>
      </c>
      <c r="H469" s="335">
        <f t="shared" ref="H469" si="270">H468</f>
        <v>0</v>
      </c>
      <c r="I469" s="6">
        <f t="shared" si="269"/>
        <v>0</v>
      </c>
    </row>
    <row r="470" spans="1:9" ht="53.45" customHeight="1" x14ac:dyDescent="0.25">
      <c r="A470" s="41" t="s">
        <v>497</v>
      </c>
      <c r="B470" s="3" t="s">
        <v>498</v>
      </c>
      <c r="C470" s="68"/>
      <c r="D470" s="68"/>
      <c r="E470" s="68"/>
      <c r="F470" s="68"/>
      <c r="G470" s="4">
        <f>G471+G538</f>
        <v>55306.430400000005</v>
      </c>
      <c r="H470" s="4">
        <f t="shared" ref="H470" si="271">H471+H538</f>
        <v>26454.29</v>
      </c>
      <c r="I470" s="4">
        <f t="shared" si="269"/>
        <v>47.832213738386557</v>
      </c>
    </row>
    <row r="471" spans="1:9" ht="47.25" x14ac:dyDescent="0.25">
      <c r="A471" s="58" t="s">
        <v>509</v>
      </c>
      <c r="B471" s="7" t="s">
        <v>510</v>
      </c>
      <c r="C471" s="7"/>
      <c r="D471" s="7"/>
      <c r="E471" s="7"/>
      <c r="F471" s="3"/>
      <c r="G471" s="59">
        <f>G472+G487+G502+G513+G520+G527</f>
        <v>52306.430400000005</v>
      </c>
      <c r="H471" s="347">
        <f t="shared" ref="H471" si="272">H472+H487+H502+H513+H520+H527</f>
        <v>25568.66</v>
      </c>
      <c r="I471" s="4">
        <f t="shared" si="269"/>
        <v>48.882441039218762</v>
      </c>
    </row>
    <row r="472" spans="1:9" s="217" customFormat="1" ht="31.5" x14ac:dyDescent="0.25">
      <c r="A472" s="23" t="s">
        <v>1028</v>
      </c>
      <c r="B472" s="24" t="s">
        <v>1061</v>
      </c>
      <c r="C472" s="7"/>
      <c r="D472" s="7"/>
      <c r="E472" s="236"/>
      <c r="F472" s="207"/>
      <c r="G472" s="59">
        <f>G473</f>
        <v>44780.4</v>
      </c>
      <c r="H472" s="347">
        <f t="shared" ref="H472" si="273">H473</f>
        <v>23397.260000000002</v>
      </c>
      <c r="I472" s="4">
        <f t="shared" si="269"/>
        <v>52.248885673196312</v>
      </c>
    </row>
    <row r="473" spans="1:9" ht="17.45" customHeight="1" x14ac:dyDescent="0.25">
      <c r="A473" s="29" t="s">
        <v>506</v>
      </c>
      <c r="B473" s="40" t="s">
        <v>1061</v>
      </c>
      <c r="C473" s="2">
        <v>11</v>
      </c>
      <c r="D473" s="68"/>
      <c r="E473" s="68"/>
      <c r="F473" s="68"/>
      <c r="G473" s="10">
        <f t="shared" ref="G473:H473" si="274">G474</f>
        <v>44780.4</v>
      </c>
      <c r="H473" s="335">
        <f t="shared" si="274"/>
        <v>23397.260000000002</v>
      </c>
      <c r="I473" s="6">
        <f t="shared" si="269"/>
        <v>52.248885673196312</v>
      </c>
    </row>
    <row r="474" spans="1:9" ht="19.5" customHeight="1" x14ac:dyDescent="0.25">
      <c r="A474" s="29" t="s">
        <v>508</v>
      </c>
      <c r="B474" s="40" t="s">
        <v>1061</v>
      </c>
      <c r="C474" s="40" t="s">
        <v>507</v>
      </c>
      <c r="D474" s="40" t="s">
        <v>134</v>
      </c>
      <c r="E474" s="71"/>
      <c r="F474" s="5"/>
      <c r="G474" s="10">
        <f>G475+G479+G483</f>
        <v>44780.4</v>
      </c>
      <c r="H474" s="335">
        <f t="shared" ref="H474" si="275">H475+H479+H483</f>
        <v>23397.260000000002</v>
      </c>
      <c r="I474" s="6">
        <f t="shared" si="269"/>
        <v>52.248885673196312</v>
      </c>
    </row>
    <row r="475" spans="1:9" ht="47.25" x14ac:dyDescent="0.25">
      <c r="A475" s="25" t="s">
        <v>837</v>
      </c>
      <c r="B475" s="20" t="s">
        <v>1071</v>
      </c>
      <c r="C475" s="40" t="s">
        <v>507</v>
      </c>
      <c r="D475" s="40" t="s">
        <v>134</v>
      </c>
      <c r="E475" s="71"/>
      <c r="F475" s="5"/>
      <c r="G475" s="10">
        <f>G476</f>
        <v>12963.2</v>
      </c>
      <c r="H475" s="335">
        <f t="shared" ref="H475:H476" si="276">H476</f>
        <v>6783.21</v>
      </c>
      <c r="I475" s="6">
        <f t="shared" si="269"/>
        <v>52.326663169587754</v>
      </c>
    </row>
    <row r="476" spans="1:9" ht="31.5" x14ac:dyDescent="0.25">
      <c r="A476" s="29" t="s">
        <v>288</v>
      </c>
      <c r="B476" s="20" t="s">
        <v>1071</v>
      </c>
      <c r="C476" s="40" t="s">
        <v>507</v>
      </c>
      <c r="D476" s="40" t="s">
        <v>134</v>
      </c>
      <c r="E476" s="40" t="s">
        <v>289</v>
      </c>
      <c r="F476" s="5"/>
      <c r="G476" s="10">
        <f>G477</f>
        <v>12963.2</v>
      </c>
      <c r="H476" s="335">
        <f t="shared" si="276"/>
        <v>6783.21</v>
      </c>
      <c r="I476" s="6">
        <f t="shared" si="269"/>
        <v>52.326663169587754</v>
      </c>
    </row>
    <row r="477" spans="1:9" ht="15.75" x14ac:dyDescent="0.25">
      <c r="A477" s="29" t="s">
        <v>290</v>
      </c>
      <c r="B477" s="20" t="s">
        <v>1071</v>
      </c>
      <c r="C477" s="40" t="s">
        <v>507</v>
      </c>
      <c r="D477" s="40" t="s">
        <v>134</v>
      </c>
      <c r="E477" s="40" t="s">
        <v>291</v>
      </c>
      <c r="F477" s="5"/>
      <c r="G477" s="10">
        <f>'Пр.4 ведом.20'!G808</f>
        <v>12963.2</v>
      </c>
      <c r="H477" s="335">
        <f>'Пр.4 ведом.20'!H808</f>
        <v>6783.21</v>
      </c>
      <c r="I477" s="6">
        <f t="shared" si="269"/>
        <v>52.326663169587754</v>
      </c>
    </row>
    <row r="478" spans="1:9" s="217" customFormat="1" ht="31.5" x14ac:dyDescent="0.25">
      <c r="A478" s="70" t="s">
        <v>496</v>
      </c>
      <c r="B478" s="20" t="s">
        <v>1071</v>
      </c>
      <c r="C478" s="40" t="s">
        <v>507</v>
      </c>
      <c r="D478" s="40" t="s">
        <v>134</v>
      </c>
      <c r="E478" s="40" t="s">
        <v>291</v>
      </c>
      <c r="F478" s="5">
        <v>907</v>
      </c>
      <c r="G478" s="10">
        <f>G477</f>
        <v>12963.2</v>
      </c>
      <c r="H478" s="335">
        <f t="shared" ref="H478" si="277">H477</f>
        <v>6783.21</v>
      </c>
      <c r="I478" s="6">
        <f t="shared" si="269"/>
        <v>52.326663169587754</v>
      </c>
    </row>
    <row r="479" spans="1:9" ht="31.5" x14ac:dyDescent="0.25">
      <c r="A479" s="25" t="s">
        <v>836</v>
      </c>
      <c r="B479" s="20" t="s">
        <v>1072</v>
      </c>
      <c r="C479" s="40" t="s">
        <v>507</v>
      </c>
      <c r="D479" s="40" t="s">
        <v>134</v>
      </c>
      <c r="E479" s="40"/>
      <c r="F479" s="5"/>
      <c r="G479" s="10">
        <f>G480</f>
        <v>13290.199999999999</v>
      </c>
      <c r="H479" s="335">
        <f t="shared" ref="H479:H480" si="278">H480</f>
        <v>7269.43</v>
      </c>
      <c r="I479" s="6">
        <f t="shared" si="269"/>
        <v>54.697671968819137</v>
      </c>
    </row>
    <row r="480" spans="1:9" ht="31.5" x14ac:dyDescent="0.25">
      <c r="A480" s="25" t="s">
        <v>288</v>
      </c>
      <c r="B480" s="20" t="s">
        <v>1072</v>
      </c>
      <c r="C480" s="40" t="s">
        <v>507</v>
      </c>
      <c r="D480" s="40" t="s">
        <v>134</v>
      </c>
      <c r="E480" s="40" t="s">
        <v>289</v>
      </c>
      <c r="F480" s="5"/>
      <c r="G480" s="10">
        <f>G481</f>
        <v>13290.199999999999</v>
      </c>
      <c r="H480" s="335">
        <f t="shared" si="278"/>
        <v>7269.43</v>
      </c>
      <c r="I480" s="6">
        <f t="shared" si="269"/>
        <v>54.697671968819137</v>
      </c>
    </row>
    <row r="481" spans="1:9" ht="15.75" x14ac:dyDescent="0.25">
      <c r="A481" s="25" t="s">
        <v>290</v>
      </c>
      <c r="B481" s="20" t="s">
        <v>1072</v>
      </c>
      <c r="C481" s="40" t="s">
        <v>507</v>
      </c>
      <c r="D481" s="40" t="s">
        <v>134</v>
      </c>
      <c r="E481" s="40" t="s">
        <v>291</v>
      </c>
      <c r="F481" s="5"/>
      <c r="G481" s="10">
        <f>'Пр.4 ведом.20'!G811</f>
        <v>13290.199999999999</v>
      </c>
      <c r="H481" s="335">
        <f>'Пр.4 ведом.20'!H811</f>
        <v>7269.43</v>
      </c>
      <c r="I481" s="6">
        <f t="shared" si="269"/>
        <v>54.697671968819137</v>
      </c>
    </row>
    <row r="482" spans="1:9" s="217" customFormat="1" ht="31.5" x14ac:dyDescent="0.25">
      <c r="A482" s="70" t="s">
        <v>496</v>
      </c>
      <c r="B482" s="20" t="s">
        <v>1072</v>
      </c>
      <c r="C482" s="40" t="s">
        <v>507</v>
      </c>
      <c r="D482" s="40" t="s">
        <v>134</v>
      </c>
      <c r="E482" s="40" t="s">
        <v>291</v>
      </c>
      <c r="F482" s="5">
        <v>907</v>
      </c>
      <c r="G482" s="10">
        <f>G479</f>
        <v>13290.199999999999</v>
      </c>
      <c r="H482" s="335">
        <f t="shared" ref="H482" si="279">H479</f>
        <v>7269.43</v>
      </c>
      <c r="I482" s="6">
        <f t="shared" si="269"/>
        <v>54.697671968819137</v>
      </c>
    </row>
    <row r="483" spans="1:9" ht="47.25" x14ac:dyDescent="0.25">
      <c r="A483" s="25" t="s">
        <v>835</v>
      </c>
      <c r="B483" s="20" t="s">
        <v>1073</v>
      </c>
      <c r="C483" s="40" t="s">
        <v>507</v>
      </c>
      <c r="D483" s="40" t="s">
        <v>134</v>
      </c>
      <c r="E483" s="40"/>
      <c r="F483" s="5"/>
      <c r="G483" s="10">
        <f>G484</f>
        <v>18527</v>
      </c>
      <c r="H483" s="335">
        <f t="shared" ref="H483:H484" si="280">H484</f>
        <v>9344.6200000000008</v>
      </c>
      <c r="I483" s="6">
        <f t="shared" si="269"/>
        <v>50.437847465860642</v>
      </c>
    </row>
    <row r="484" spans="1:9" ht="31.5" x14ac:dyDescent="0.25">
      <c r="A484" s="25" t="s">
        <v>288</v>
      </c>
      <c r="B484" s="20" t="s">
        <v>1073</v>
      </c>
      <c r="C484" s="40" t="s">
        <v>507</v>
      </c>
      <c r="D484" s="40" t="s">
        <v>134</v>
      </c>
      <c r="E484" s="40" t="s">
        <v>289</v>
      </c>
      <c r="F484" s="5"/>
      <c r="G484" s="10">
        <f>G485</f>
        <v>18527</v>
      </c>
      <c r="H484" s="335">
        <f t="shared" si="280"/>
        <v>9344.6200000000008</v>
      </c>
      <c r="I484" s="6">
        <f t="shared" si="269"/>
        <v>50.437847465860642</v>
      </c>
    </row>
    <row r="485" spans="1:9" ht="15.75" x14ac:dyDescent="0.25">
      <c r="A485" s="25" t="s">
        <v>290</v>
      </c>
      <c r="B485" s="20" t="s">
        <v>1073</v>
      </c>
      <c r="C485" s="40" t="s">
        <v>507</v>
      </c>
      <c r="D485" s="40" t="s">
        <v>134</v>
      </c>
      <c r="E485" s="40" t="s">
        <v>291</v>
      </c>
      <c r="F485" s="5"/>
      <c r="G485" s="10">
        <f>'Пр.4 ведом.20'!G814</f>
        <v>18527</v>
      </c>
      <c r="H485" s="335">
        <f>'Пр.4 ведом.20'!H814</f>
        <v>9344.6200000000008</v>
      </c>
      <c r="I485" s="6">
        <f t="shared" si="269"/>
        <v>50.437847465860642</v>
      </c>
    </row>
    <row r="486" spans="1:9" s="217" customFormat="1" ht="31.5" x14ac:dyDescent="0.25">
      <c r="A486" s="70" t="s">
        <v>496</v>
      </c>
      <c r="B486" s="20" t="s">
        <v>1073</v>
      </c>
      <c r="C486" s="40" t="s">
        <v>507</v>
      </c>
      <c r="D486" s="40" t="s">
        <v>134</v>
      </c>
      <c r="E486" s="40" t="s">
        <v>291</v>
      </c>
      <c r="F486" s="5">
        <v>907</v>
      </c>
      <c r="G486" s="10">
        <f>G483</f>
        <v>18527</v>
      </c>
      <c r="H486" s="335">
        <f t="shared" ref="H486" si="281">H483</f>
        <v>9344.6200000000008</v>
      </c>
      <c r="I486" s="6">
        <f t="shared" si="269"/>
        <v>50.437847465860642</v>
      </c>
    </row>
    <row r="487" spans="1:9" s="217" customFormat="1" ht="31.5" x14ac:dyDescent="0.25">
      <c r="A487" s="23" t="s">
        <v>1074</v>
      </c>
      <c r="B487" s="24" t="s">
        <v>1075</v>
      </c>
      <c r="C487" s="7"/>
      <c r="D487" s="7"/>
      <c r="E487" s="7"/>
      <c r="F487" s="207"/>
      <c r="G487" s="59">
        <f>G488</f>
        <v>36</v>
      </c>
      <c r="H487" s="347">
        <f t="shared" ref="H487" si="282">H488</f>
        <v>36</v>
      </c>
      <c r="I487" s="4">
        <f t="shared" si="269"/>
        <v>100</v>
      </c>
    </row>
    <row r="488" spans="1:9" s="217" customFormat="1" ht="15.75" x14ac:dyDescent="0.25">
      <c r="A488" s="29" t="s">
        <v>506</v>
      </c>
      <c r="B488" s="40" t="s">
        <v>1075</v>
      </c>
      <c r="C488" s="2">
        <v>11</v>
      </c>
      <c r="D488" s="68"/>
      <c r="E488" s="68"/>
      <c r="F488" s="68"/>
      <c r="G488" s="10">
        <f t="shared" ref="G488:H488" si="283">G489</f>
        <v>36</v>
      </c>
      <c r="H488" s="335">
        <f t="shared" si="283"/>
        <v>36</v>
      </c>
      <c r="I488" s="6">
        <f t="shared" si="269"/>
        <v>100</v>
      </c>
    </row>
    <row r="489" spans="1:9" s="217" customFormat="1" ht="16.5" x14ac:dyDescent="0.25">
      <c r="A489" s="29" t="s">
        <v>508</v>
      </c>
      <c r="B489" s="40" t="s">
        <v>1075</v>
      </c>
      <c r="C489" s="40" t="s">
        <v>507</v>
      </c>
      <c r="D489" s="40" t="s">
        <v>134</v>
      </c>
      <c r="E489" s="71"/>
      <c r="F489" s="5"/>
      <c r="G489" s="10">
        <f>G490+G494+G498</f>
        <v>36</v>
      </c>
      <c r="H489" s="335">
        <f t="shared" ref="H489" si="284">H490+H494+H498</f>
        <v>36</v>
      </c>
      <c r="I489" s="6">
        <f t="shared" si="269"/>
        <v>100</v>
      </c>
    </row>
    <row r="490" spans="1:9" ht="31.7" hidden="1" customHeight="1" x14ac:dyDescent="0.25">
      <c r="A490" s="29" t="s">
        <v>294</v>
      </c>
      <c r="B490" s="20" t="s">
        <v>1079</v>
      </c>
      <c r="C490" s="40" t="s">
        <v>507</v>
      </c>
      <c r="D490" s="40" t="s">
        <v>134</v>
      </c>
      <c r="E490" s="40"/>
      <c r="F490" s="5"/>
      <c r="G490" s="10">
        <f t="shared" ref="G490:H491" si="285">G491</f>
        <v>0</v>
      </c>
      <c r="H490" s="335">
        <f t="shared" si="285"/>
        <v>0</v>
      </c>
      <c r="I490" s="6" t="e">
        <f t="shared" si="269"/>
        <v>#DIV/0!</v>
      </c>
    </row>
    <row r="491" spans="1:9" ht="31.7" hidden="1" customHeight="1" x14ac:dyDescent="0.25">
      <c r="A491" s="29" t="s">
        <v>288</v>
      </c>
      <c r="B491" s="20" t="s">
        <v>1079</v>
      </c>
      <c r="C491" s="40" t="s">
        <v>507</v>
      </c>
      <c r="D491" s="40" t="s">
        <v>134</v>
      </c>
      <c r="E491" s="40" t="s">
        <v>289</v>
      </c>
      <c r="F491" s="5"/>
      <c r="G491" s="10">
        <f t="shared" si="285"/>
        <v>0</v>
      </c>
      <c r="H491" s="335">
        <f t="shared" si="285"/>
        <v>0</v>
      </c>
      <c r="I491" s="6" t="e">
        <f t="shared" si="269"/>
        <v>#DIV/0!</v>
      </c>
    </row>
    <row r="492" spans="1:9" ht="15.75" hidden="1" customHeight="1" x14ac:dyDescent="0.25">
      <c r="A492" s="29" t="s">
        <v>290</v>
      </c>
      <c r="B492" s="20" t="s">
        <v>1079</v>
      </c>
      <c r="C492" s="40" t="s">
        <v>507</v>
      </c>
      <c r="D492" s="40" t="s">
        <v>134</v>
      </c>
      <c r="E492" s="40" t="s">
        <v>291</v>
      </c>
      <c r="F492" s="5"/>
      <c r="G492" s="10">
        <f>'Пр.4 ведом.20'!G818</f>
        <v>0</v>
      </c>
      <c r="H492" s="335">
        <f>'Пр.4 ведом.20'!H818</f>
        <v>0</v>
      </c>
      <c r="I492" s="6" t="e">
        <f t="shared" si="269"/>
        <v>#DIV/0!</v>
      </c>
    </row>
    <row r="493" spans="1:9" s="217" customFormat="1" ht="34.5" hidden="1" customHeight="1" x14ac:dyDescent="0.25">
      <c r="A493" s="70" t="s">
        <v>496</v>
      </c>
      <c r="B493" s="20" t="s">
        <v>1079</v>
      </c>
      <c r="C493" s="40" t="s">
        <v>507</v>
      </c>
      <c r="D493" s="40" t="s">
        <v>134</v>
      </c>
      <c r="E493" s="40" t="s">
        <v>291</v>
      </c>
      <c r="F493" s="5">
        <v>907</v>
      </c>
      <c r="G493" s="10">
        <f>G492</f>
        <v>0</v>
      </c>
      <c r="H493" s="335">
        <f t="shared" ref="H493" si="286">H492</f>
        <v>0</v>
      </c>
      <c r="I493" s="6" t="e">
        <f t="shared" si="269"/>
        <v>#DIV/0!</v>
      </c>
    </row>
    <row r="494" spans="1:9" ht="31.7" hidden="1" customHeight="1" x14ac:dyDescent="0.25">
      <c r="A494" s="29" t="s">
        <v>296</v>
      </c>
      <c r="B494" s="20" t="s">
        <v>1080</v>
      </c>
      <c r="C494" s="40" t="s">
        <v>507</v>
      </c>
      <c r="D494" s="40" t="s">
        <v>134</v>
      </c>
      <c r="E494" s="40"/>
      <c r="F494" s="5"/>
      <c r="G494" s="10">
        <f t="shared" ref="G494:H495" si="287">G495</f>
        <v>0</v>
      </c>
      <c r="H494" s="335">
        <f t="shared" si="287"/>
        <v>0</v>
      </c>
      <c r="I494" s="6" t="e">
        <f t="shared" si="269"/>
        <v>#DIV/0!</v>
      </c>
    </row>
    <row r="495" spans="1:9" ht="31.7" hidden="1" customHeight="1" x14ac:dyDescent="0.25">
      <c r="A495" s="29" t="s">
        <v>288</v>
      </c>
      <c r="B495" s="20" t="s">
        <v>1080</v>
      </c>
      <c r="C495" s="40" t="s">
        <v>507</v>
      </c>
      <c r="D495" s="40" t="s">
        <v>134</v>
      </c>
      <c r="E495" s="40" t="s">
        <v>289</v>
      </c>
      <c r="F495" s="5"/>
      <c r="G495" s="10">
        <f t="shared" si="287"/>
        <v>0</v>
      </c>
      <c r="H495" s="335">
        <f t="shared" si="287"/>
        <v>0</v>
      </c>
      <c r="I495" s="6" t="e">
        <f t="shared" si="269"/>
        <v>#DIV/0!</v>
      </c>
    </row>
    <row r="496" spans="1:9" ht="15.75" hidden="1" customHeight="1" x14ac:dyDescent="0.25">
      <c r="A496" s="29" t="s">
        <v>290</v>
      </c>
      <c r="B496" s="20" t="s">
        <v>1080</v>
      </c>
      <c r="C496" s="40" t="s">
        <v>507</v>
      </c>
      <c r="D496" s="40" t="s">
        <v>134</v>
      </c>
      <c r="E496" s="40" t="s">
        <v>291</v>
      </c>
      <c r="F496" s="5"/>
      <c r="G496" s="10">
        <f>'Пр.4 ведом.20'!G821</f>
        <v>0</v>
      </c>
      <c r="H496" s="335">
        <f>'Пр.4 ведом.20'!H821</f>
        <v>0</v>
      </c>
      <c r="I496" s="6" t="e">
        <f t="shared" si="269"/>
        <v>#DIV/0!</v>
      </c>
    </row>
    <row r="497" spans="1:9" s="217" customFormat="1" ht="36" hidden="1" customHeight="1" x14ac:dyDescent="0.25">
      <c r="A497" s="70" t="s">
        <v>496</v>
      </c>
      <c r="B497" s="20" t="s">
        <v>1080</v>
      </c>
      <c r="C497" s="40" t="s">
        <v>507</v>
      </c>
      <c r="D497" s="40" t="s">
        <v>134</v>
      </c>
      <c r="E497" s="40" t="s">
        <v>291</v>
      </c>
      <c r="F497" s="5">
        <v>907</v>
      </c>
      <c r="G497" s="10">
        <f>G496</f>
        <v>0</v>
      </c>
      <c r="H497" s="335">
        <f t="shared" ref="H497" si="288">H496</f>
        <v>0</v>
      </c>
      <c r="I497" s="6" t="e">
        <f t="shared" si="269"/>
        <v>#DIV/0!</v>
      </c>
    </row>
    <row r="498" spans="1:9" s="217" customFormat="1" ht="15.75" customHeight="1" x14ac:dyDescent="0.25">
      <c r="A498" s="25" t="s">
        <v>876</v>
      </c>
      <c r="B498" s="20" t="s">
        <v>1081</v>
      </c>
      <c r="C498" s="40" t="s">
        <v>507</v>
      </c>
      <c r="D498" s="40" t="s">
        <v>134</v>
      </c>
      <c r="E498" s="40"/>
      <c r="F498" s="5"/>
      <c r="G498" s="10">
        <f>G499</f>
        <v>36</v>
      </c>
      <c r="H498" s="335">
        <f t="shared" ref="H498:H499" si="289">H499</f>
        <v>36</v>
      </c>
      <c r="I498" s="6">
        <f t="shared" si="269"/>
        <v>100</v>
      </c>
    </row>
    <row r="499" spans="1:9" s="217" customFormat="1" ht="31.5" x14ac:dyDescent="0.25">
      <c r="A499" s="25" t="s">
        <v>288</v>
      </c>
      <c r="B499" s="20" t="s">
        <v>1081</v>
      </c>
      <c r="C499" s="40" t="s">
        <v>507</v>
      </c>
      <c r="D499" s="40" t="s">
        <v>134</v>
      </c>
      <c r="E499" s="40" t="s">
        <v>289</v>
      </c>
      <c r="F499" s="5"/>
      <c r="G499" s="10">
        <f>G500</f>
        <v>36</v>
      </c>
      <c r="H499" s="335">
        <f t="shared" si="289"/>
        <v>36</v>
      </c>
      <c r="I499" s="6">
        <f t="shared" si="269"/>
        <v>100</v>
      </c>
    </row>
    <row r="500" spans="1:9" s="217" customFormat="1" ht="15.75" customHeight="1" x14ac:dyDescent="0.25">
      <c r="A500" s="25" t="s">
        <v>290</v>
      </c>
      <c r="B500" s="20" t="s">
        <v>1081</v>
      </c>
      <c r="C500" s="40" t="s">
        <v>507</v>
      </c>
      <c r="D500" s="40" t="s">
        <v>134</v>
      </c>
      <c r="E500" s="40" t="s">
        <v>291</v>
      </c>
      <c r="F500" s="5"/>
      <c r="G500" s="10">
        <f>'Пр.4 ведом.20'!G824</f>
        <v>36</v>
      </c>
      <c r="H500" s="335">
        <f>'Пр.4 ведом.20'!H824</f>
        <v>36</v>
      </c>
      <c r="I500" s="6">
        <f t="shared" si="269"/>
        <v>100</v>
      </c>
    </row>
    <row r="501" spans="1:9" s="217" customFormat="1" ht="33" customHeight="1" x14ac:dyDescent="0.25">
      <c r="A501" s="70" t="s">
        <v>496</v>
      </c>
      <c r="B501" s="20" t="s">
        <v>1081</v>
      </c>
      <c r="C501" s="40" t="s">
        <v>507</v>
      </c>
      <c r="D501" s="40" t="s">
        <v>134</v>
      </c>
      <c r="E501" s="40" t="s">
        <v>291</v>
      </c>
      <c r="F501" s="5">
        <v>907</v>
      </c>
      <c r="G501" s="10">
        <f>G500</f>
        <v>36</v>
      </c>
      <c r="H501" s="335">
        <f t="shared" ref="H501" si="290">H500</f>
        <v>36</v>
      </c>
      <c r="I501" s="6">
        <f t="shared" si="269"/>
        <v>100</v>
      </c>
    </row>
    <row r="502" spans="1:9" s="217" customFormat="1" ht="36" customHeight="1" x14ac:dyDescent="0.25">
      <c r="A502" s="23" t="s">
        <v>1076</v>
      </c>
      <c r="B502" s="24" t="s">
        <v>1078</v>
      </c>
      <c r="C502" s="7"/>
      <c r="D502" s="7"/>
      <c r="E502" s="7"/>
      <c r="F502" s="207"/>
      <c r="G502" s="59">
        <f>G503</f>
        <v>1205.8</v>
      </c>
      <c r="H502" s="347">
        <f t="shared" ref="H502" si="291">H503</f>
        <v>1205.8</v>
      </c>
      <c r="I502" s="4">
        <f t="shared" si="269"/>
        <v>100</v>
      </c>
    </row>
    <row r="503" spans="1:9" s="217" customFormat="1" ht="18" customHeight="1" x14ac:dyDescent="0.25">
      <c r="A503" s="29" t="s">
        <v>506</v>
      </c>
      <c r="B503" s="40" t="s">
        <v>1078</v>
      </c>
      <c r="C503" s="2">
        <v>11</v>
      </c>
      <c r="D503" s="68"/>
      <c r="E503" s="68"/>
      <c r="F503" s="68"/>
      <c r="G503" s="10">
        <f t="shared" ref="G503:H503" si="292">G504</f>
        <v>1205.8</v>
      </c>
      <c r="H503" s="335">
        <f t="shared" si="292"/>
        <v>1205.8</v>
      </c>
      <c r="I503" s="6">
        <f t="shared" si="269"/>
        <v>100</v>
      </c>
    </row>
    <row r="504" spans="1:9" s="217" customFormat="1" ht="18" customHeight="1" x14ac:dyDescent="0.25">
      <c r="A504" s="29" t="s">
        <v>508</v>
      </c>
      <c r="B504" s="40" t="s">
        <v>1078</v>
      </c>
      <c r="C504" s="40" t="s">
        <v>507</v>
      </c>
      <c r="D504" s="40" t="s">
        <v>134</v>
      </c>
      <c r="E504" s="71"/>
      <c r="F504" s="5"/>
      <c r="G504" s="10">
        <f>G505+G509</f>
        <v>1205.8</v>
      </c>
      <c r="H504" s="335">
        <f t="shared" ref="H504" si="293">H505+H509</f>
        <v>1205.8</v>
      </c>
      <c r="I504" s="6">
        <f t="shared" si="269"/>
        <v>100</v>
      </c>
    </row>
    <row r="505" spans="1:9" ht="31.7" hidden="1" customHeight="1" x14ac:dyDescent="0.25">
      <c r="A505" s="29" t="s">
        <v>300</v>
      </c>
      <c r="B505" s="20" t="s">
        <v>1082</v>
      </c>
      <c r="C505" s="40" t="s">
        <v>507</v>
      </c>
      <c r="D505" s="40" t="s">
        <v>134</v>
      </c>
      <c r="E505" s="40"/>
      <c r="F505" s="5"/>
      <c r="G505" s="10">
        <f t="shared" ref="G505:H506" si="294">G506</f>
        <v>0</v>
      </c>
      <c r="H505" s="335">
        <f t="shared" si="294"/>
        <v>0</v>
      </c>
      <c r="I505" s="6" t="e">
        <f t="shared" si="269"/>
        <v>#DIV/0!</v>
      </c>
    </row>
    <row r="506" spans="1:9" ht="31.7" hidden="1" customHeight="1" x14ac:dyDescent="0.25">
      <c r="A506" s="29" t="s">
        <v>288</v>
      </c>
      <c r="B506" s="20" t="s">
        <v>1082</v>
      </c>
      <c r="C506" s="40" t="s">
        <v>507</v>
      </c>
      <c r="D506" s="40" t="s">
        <v>134</v>
      </c>
      <c r="E506" s="40" t="s">
        <v>289</v>
      </c>
      <c r="F506" s="5"/>
      <c r="G506" s="10">
        <f t="shared" si="294"/>
        <v>0</v>
      </c>
      <c r="H506" s="335">
        <f t="shared" si="294"/>
        <v>0</v>
      </c>
      <c r="I506" s="6" t="e">
        <f t="shared" si="269"/>
        <v>#DIV/0!</v>
      </c>
    </row>
    <row r="507" spans="1:9" ht="15.75" hidden="1" customHeight="1" x14ac:dyDescent="0.25">
      <c r="A507" s="29" t="s">
        <v>290</v>
      </c>
      <c r="B507" s="20" t="s">
        <v>1082</v>
      </c>
      <c r="C507" s="40" t="s">
        <v>507</v>
      </c>
      <c r="D507" s="40" t="s">
        <v>134</v>
      </c>
      <c r="E507" s="40" t="s">
        <v>291</v>
      </c>
      <c r="F507" s="5"/>
      <c r="G507" s="10">
        <f>'Пр.4 ведом.20'!G828</f>
        <v>0</v>
      </c>
      <c r="H507" s="335">
        <f>'Пр.4 ведом.20'!H828</f>
        <v>0</v>
      </c>
      <c r="I507" s="6" t="e">
        <f t="shared" si="269"/>
        <v>#DIV/0!</v>
      </c>
    </row>
    <row r="508" spans="1:9" s="217" customFormat="1" ht="15.75" hidden="1" customHeight="1" x14ac:dyDescent="0.25">
      <c r="A508" s="70" t="s">
        <v>496</v>
      </c>
      <c r="B508" s="20" t="s">
        <v>1082</v>
      </c>
      <c r="C508" s="40" t="s">
        <v>507</v>
      </c>
      <c r="D508" s="40" t="s">
        <v>134</v>
      </c>
      <c r="E508" s="40" t="s">
        <v>291</v>
      </c>
      <c r="F508" s="5">
        <v>907</v>
      </c>
      <c r="G508" s="10">
        <f>G507</f>
        <v>0</v>
      </c>
      <c r="H508" s="335">
        <f t="shared" ref="H508" si="295">H507</f>
        <v>0</v>
      </c>
      <c r="I508" s="6" t="e">
        <f t="shared" si="269"/>
        <v>#DIV/0!</v>
      </c>
    </row>
    <row r="509" spans="1:9" ht="31.5" x14ac:dyDescent="0.25">
      <c r="A509" s="45" t="s">
        <v>787</v>
      </c>
      <c r="B509" s="20" t="s">
        <v>1083</v>
      </c>
      <c r="C509" s="40" t="s">
        <v>507</v>
      </c>
      <c r="D509" s="40" t="s">
        <v>134</v>
      </c>
      <c r="E509" s="40"/>
      <c r="F509" s="5"/>
      <c r="G509" s="10">
        <f t="shared" ref="G509:H510" si="296">G510</f>
        <v>1205.8</v>
      </c>
      <c r="H509" s="335">
        <f t="shared" si="296"/>
        <v>1205.8</v>
      </c>
      <c r="I509" s="6">
        <f t="shared" si="269"/>
        <v>100</v>
      </c>
    </row>
    <row r="510" spans="1:9" ht="31.5" x14ac:dyDescent="0.25">
      <c r="A510" s="31" t="s">
        <v>288</v>
      </c>
      <c r="B510" s="20" t="s">
        <v>1083</v>
      </c>
      <c r="C510" s="40" t="s">
        <v>507</v>
      </c>
      <c r="D510" s="40" t="s">
        <v>134</v>
      </c>
      <c r="E510" s="40" t="s">
        <v>289</v>
      </c>
      <c r="F510" s="5"/>
      <c r="G510" s="10">
        <f t="shared" si="296"/>
        <v>1205.8</v>
      </c>
      <c r="H510" s="335">
        <f t="shared" si="296"/>
        <v>1205.8</v>
      </c>
      <c r="I510" s="6">
        <f t="shared" si="269"/>
        <v>100</v>
      </c>
    </row>
    <row r="511" spans="1:9" ht="15.75" x14ac:dyDescent="0.25">
      <c r="A511" s="31" t="s">
        <v>290</v>
      </c>
      <c r="B511" s="20" t="s">
        <v>1083</v>
      </c>
      <c r="C511" s="40" t="s">
        <v>507</v>
      </c>
      <c r="D511" s="40" t="s">
        <v>134</v>
      </c>
      <c r="E511" s="40" t="s">
        <v>291</v>
      </c>
      <c r="F511" s="5"/>
      <c r="G511" s="10">
        <f>'Пр.4 ведом.20'!G831</f>
        <v>1205.8</v>
      </c>
      <c r="H511" s="335">
        <f>'Пр.4 ведом.20'!H831</f>
        <v>1205.8</v>
      </c>
      <c r="I511" s="6">
        <f t="shared" si="269"/>
        <v>100</v>
      </c>
    </row>
    <row r="512" spans="1:9" s="217" customFormat="1" ht="31.5" x14ac:dyDescent="0.25">
      <c r="A512" s="70" t="s">
        <v>496</v>
      </c>
      <c r="B512" s="20" t="s">
        <v>1083</v>
      </c>
      <c r="C512" s="40" t="s">
        <v>507</v>
      </c>
      <c r="D512" s="40" t="s">
        <v>134</v>
      </c>
      <c r="E512" s="40" t="s">
        <v>291</v>
      </c>
      <c r="F512" s="5">
        <v>907</v>
      </c>
      <c r="G512" s="10">
        <f>G511</f>
        <v>1205.8</v>
      </c>
      <c r="H512" s="335">
        <f t="shared" ref="H512" si="297">H511</f>
        <v>1205.8</v>
      </c>
      <c r="I512" s="6">
        <f t="shared" si="269"/>
        <v>100</v>
      </c>
    </row>
    <row r="513" spans="1:9" s="217" customFormat="1" ht="47.25" x14ac:dyDescent="0.25">
      <c r="A513" s="23" t="s">
        <v>971</v>
      </c>
      <c r="B513" s="24" t="s">
        <v>1084</v>
      </c>
      <c r="C513" s="7"/>
      <c r="D513" s="7"/>
      <c r="E513" s="7"/>
      <c r="F513" s="207"/>
      <c r="G513" s="59">
        <f>G514</f>
        <v>813.5</v>
      </c>
      <c r="H513" s="347">
        <f t="shared" ref="H513" si="298">H514</f>
        <v>490</v>
      </c>
      <c r="I513" s="4">
        <f t="shared" si="269"/>
        <v>60.233558696988318</v>
      </c>
    </row>
    <row r="514" spans="1:9" s="217" customFormat="1" ht="15.75" x14ac:dyDescent="0.25">
      <c r="A514" s="29" t="s">
        <v>506</v>
      </c>
      <c r="B514" s="40" t="s">
        <v>1084</v>
      </c>
      <c r="C514" s="2">
        <v>11</v>
      </c>
      <c r="D514" s="68"/>
      <c r="E514" s="68"/>
      <c r="F514" s="68"/>
      <c r="G514" s="10">
        <f t="shared" ref="G514:H517" si="299">G515</f>
        <v>813.5</v>
      </c>
      <c r="H514" s="335">
        <f t="shared" si="299"/>
        <v>490</v>
      </c>
      <c r="I514" s="6">
        <f t="shared" si="269"/>
        <v>60.233558696988318</v>
      </c>
    </row>
    <row r="515" spans="1:9" s="217" customFormat="1" ht="16.5" x14ac:dyDescent="0.25">
      <c r="A515" s="29" t="s">
        <v>508</v>
      </c>
      <c r="B515" s="40" t="s">
        <v>1084</v>
      </c>
      <c r="C515" s="40" t="s">
        <v>507</v>
      </c>
      <c r="D515" s="40" t="s">
        <v>134</v>
      </c>
      <c r="E515" s="71"/>
      <c r="F515" s="5"/>
      <c r="G515" s="10">
        <f>G516</f>
        <v>813.5</v>
      </c>
      <c r="H515" s="335">
        <f t="shared" si="299"/>
        <v>490</v>
      </c>
      <c r="I515" s="6">
        <f t="shared" si="269"/>
        <v>60.233558696988318</v>
      </c>
    </row>
    <row r="516" spans="1:9" s="217" customFormat="1" ht="94.5" x14ac:dyDescent="0.25">
      <c r="A516" s="31" t="s">
        <v>480</v>
      </c>
      <c r="B516" s="20" t="s">
        <v>1521</v>
      </c>
      <c r="C516" s="40" t="s">
        <v>507</v>
      </c>
      <c r="D516" s="40" t="s">
        <v>134</v>
      </c>
      <c r="E516" s="40"/>
      <c r="F516" s="5"/>
      <c r="G516" s="10">
        <f>G517</f>
        <v>813.5</v>
      </c>
      <c r="H516" s="335">
        <f t="shared" si="299"/>
        <v>490</v>
      </c>
      <c r="I516" s="6">
        <f t="shared" si="269"/>
        <v>60.233558696988318</v>
      </c>
    </row>
    <row r="517" spans="1:9" s="217" customFormat="1" ht="31.5" x14ac:dyDescent="0.25">
      <c r="A517" s="25" t="s">
        <v>288</v>
      </c>
      <c r="B517" s="338" t="s">
        <v>1521</v>
      </c>
      <c r="C517" s="40" t="s">
        <v>507</v>
      </c>
      <c r="D517" s="40" t="s">
        <v>134</v>
      </c>
      <c r="E517" s="40" t="s">
        <v>289</v>
      </c>
      <c r="F517" s="5"/>
      <c r="G517" s="10">
        <f>G518</f>
        <v>813.5</v>
      </c>
      <c r="H517" s="335">
        <f t="shared" si="299"/>
        <v>490</v>
      </c>
      <c r="I517" s="6">
        <f t="shared" si="269"/>
        <v>60.233558696988318</v>
      </c>
    </row>
    <row r="518" spans="1:9" s="217" customFormat="1" ht="15.75" x14ac:dyDescent="0.25">
      <c r="A518" s="25" t="s">
        <v>290</v>
      </c>
      <c r="B518" s="338" t="s">
        <v>1521</v>
      </c>
      <c r="C518" s="40" t="s">
        <v>507</v>
      </c>
      <c r="D518" s="40" t="s">
        <v>134</v>
      </c>
      <c r="E518" s="40" t="s">
        <v>291</v>
      </c>
      <c r="F518" s="5"/>
      <c r="G518" s="10">
        <f>'Пр.4 ведом.20'!G835</f>
        <v>813.5</v>
      </c>
      <c r="H518" s="335">
        <f>'Пр.4 ведом.20'!H835</f>
        <v>490</v>
      </c>
      <c r="I518" s="6">
        <f t="shared" si="269"/>
        <v>60.233558696988318</v>
      </c>
    </row>
    <row r="519" spans="1:9" s="217" customFormat="1" ht="31.5" x14ac:dyDescent="0.25">
      <c r="A519" s="70" t="s">
        <v>496</v>
      </c>
      <c r="B519" s="338" t="s">
        <v>1521</v>
      </c>
      <c r="C519" s="40" t="s">
        <v>507</v>
      </c>
      <c r="D519" s="40" t="s">
        <v>134</v>
      </c>
      <c r="E519" s="40" t="s">
        <v>291</v>
      </c>
      <c r="F519" s="5">
        <v>907</v>
      </c>
      <c r="G519" s="10">
        <f>G518</f>
        <v>813.5</v>
      </c>
      <c r="H519" s="335">
        <f t="shared" ref="H519" si="300">H518</f>
        <v>490</v>
      </c>
      <c r="I519" s="6">
        <f t="shared" si="269"/>
        <v>60.233558696988318</v>
      </c>
    </row>
    <row r="520" spans="1:9" s="217" customFormat="1" ht="63" x14ac:dyDescent="0.25">
      <c r="A520" s="23" t="s">
        <v>1485</v>
      </c>
      <c r="B520" s="24" t="s">
        <v>1482</v>
      </c>
      <c r="C520" s="7"/>
      <c r="D520" s="7"/>
      <c r="E520" s="7"/>
      <c r="F520" s="207"/>
      <c r="G520" s="59">
        <f>G521</f>
        <v>439.56040000000002</v>
      </c>
      <c r="H520" s="347">
        <f t="shared" ref="H520:H524" si="301">H521</f>
        <v>439.6</v>
      </c>
      <c r="I520" s="4">
        <f t="shared" si="269"/>
        <v>100.00900900081082</v>
      </c>
    </row>
    <row r="521" spans="1:9" s="217" customFormat="1" ht="15.75" x14ac:dyDescent="0.25">
      <c r="A521" s="29" t="s">
        <v>506</v>
      </c>
      <c r="B521" s="20" t="s">
        <v>1482</v>
      </c>
      <c r="C521" s="40" t="s">
        <v>507</v>
      </c>
      <c r="D521" s="40"/>
      <c r="E521" s="40"/>
      <c r="F521" s="5"/>
      <c r="G521" s="10">
        <f>G522</f>
        <v>439.56040000000002</v>
      </c>
      <c r="H521" s="335">
        <f t="shared" si="301"/>
        <v>439.6</v>
      </c>
      <c r="I521" s="6">
        <f t="shared" si="269"/>
        <v>100.00900900081082</v>
      </c>
    </row>
    <row r="522" spans="1:9" s="217" customFormat="1" ht="15.75" x14ac:dyDescent="0.25">
      <c r="A522" s="29" t="s">
        <v>508</v>
      </c>
      <c r="B522" s="20" t="s">
        <v>1482</v>
      </c>
      <c r="C522" s="40" t="s">
        <v>507</v>
      </c>
      <c r="D522" s="40" t="s">
        <v>134</v>
      </c>
      <c r="E522" s="40"/>
      <c r="F522" s="5"/>
      <c r="G522" s="10">
        <f>G523</f>
        <v>439.56040000000002</v>
      </c>
      <c r="H522" s="335">
        <f t="shared" si="301"/>
        <v>439.6</v>
      </c>
      <c r="I522" s="6">
        <f t="shared" si="269"/>
        <v>100.00900900081082</v>
      </c>
    </row>
    <row r="523" spans="1:9" s="217" customFormat="1" ht="47.25" x14ac:dyDescent="0.25">
      <c r="A523" s="25" t="s">
        <v>1486</v>
      </c>
      <c r="B523" s="20" t="s">
        <v>1481</v>
      </c>
      <c r="C523" s="40" t="s">
        <v>507</v>
      </c>
      <c r="D523" s="40" t="s">
        <v>134</v>
      </c>
      <c r="E523" s="40"/>
      <c r="F523" s="5"/>
      <c r="G523" s="10">
        <f>G524</f>
        <v>439.56040000000002</v>
      </c>
      <c r="H523" s="335">
        <f t="shared" si="301"/>
        <v>439.6</v>
      </c>
      <c r="I523" s="6">
        <f t="shared" si="269"/>
        <v>100.00900900081082</v>
      </c>
    </row>
    <row r="524" spans="1:9" s="217" customFormat="1" ht="31.5" x14ac:dyDescent="0.25">
      <c r="A524" s="25" t="s">
        <v>288</v>
      </c>
      <c r="B524" s="20" t="s">
        <v>1481</v>
      </c>
      <c r="C524" s="40" t="s">
        <v>507</v>
      </c>
      <c r="D524" s="40" t="s">
        <v>134</v>
      </c>
      <c r="E524" s="40" t="s">
        <v>289</v>
      </c>
      <c r="F524" s="5"/>
      <c r="G524" s="10">
        <f>G525</f>
        <v>439.56040000000002</v>
      </c>
      <c r="H524" s="335">
        <f t="shared" si="301"/>
        <v>439.6</v>
      </c>
      <c r="I524" s="6">
        <f t="shared" si="269"/>
        <v>100.00900900081082</v>
      </c>
    </row>
    <row r="525" spans="1:9" s="217" customFormat="1" ht="15.75" x14ac:dyDescent="0.25">
      <c r="A525" s="25" t="s">
        <v>290</v>
      </c>
      <c r="B525" s="20" t="s">
        <v>1481</v>
      </c>
      <c r="C525" s="40" t="s">
        <v>507</v>
      </c>
      <c r="D525" s="40" t="s">
        <v>134</v>
      </c>
      <c r="E525" s="40" t="s">
        <v>291</v>
      </c>
      <c r="F525" s="5"/>
      <c r="G525" s="10">
        <f>'Пр.4 ведом.20'!G842</f>
        <v>439.56040000000002</v>
      </c>
      <c r="H525" s="335">
        <f>'Пр.4 ведом.20'!H842</f>
        <v>439.6</v>
      </c>
      <c r="I525" s="6">
        <f t="shared" si="269"/>
        <v>100.00900900081082</v>
      </c>
    </row>
    <row r="526" spans="1:9" s="217" customFormat="1" ht="31.5" x14ac:dyDescent="0.25">
      <c r="A526" s="70" t="s">
        <v>496</v>
      </c>
      <c r="B526" s="20" t="s">
        <v>1481</v>
      </c>
      <c r="C526" s="40" t="s">
        <v>507</v>
      </c>
      <c r="D526" s="40" t="s">
        <v>134</v>
      </c>
      <c r="E526" s="40" t="s">
        <v>291</v>
      </c>
      <c r="F526" s="5">
        <v>907</v>
      </c>
      <c r="G526" s="10">
        <f>G520</f>
        <v>439.56040000000002</v>
      </c>
      <c r="H526" s="335">
        <f t="shared" ref="H526" si="302">H520</f>
        <v>439.6</v>
      </c>
      <c r="I526" s="6">
        <f t="shared" si="269"/>
        <v>100.00900900081082</v>
      </c>
    </row>
    <row r="527" spans="1:9" s="331" customFormat="1" ht="47.25" x14ac:dyDescent="0.25">
      <c r="A527" s="340" t="s">
        <v>1507</v>
      </c>
      <c r="B527" s="341" t="s">
        <v>1509</v>
      </c>
      <c r="C527" s="346"/>
      <c r="D527" s="346"/>
      <c r="E527" s="346"/>
      <c r="F527" s="333"/>
      <c r="G527" s="347">
        <f>G528</f>
        <v>5031.17</v>
      </c>
      <c r="H527" s="347">
        <f t="shared" ref="H527:H528" si="303">H528</f>
        <v>0</v>
      </c>
      <c r="I527" s="4">
        <f t="shared" si="269"/>
        <v>0</v>
      </c>
    </row>
    <row r="528" spans="1:9" s="331" customFormat="1" ht="15.75" x14ac:dyDescent="0.25">
      <c r="A528" s="345" t="s">
        <v>506</v>
      </c>
      <c r="B528" s="338" t="s">
        <v>1509</v>
      </c>
      <c r="C528" s="346" t="s">
        <v>507</v>
      </c>
      <c r="D528" s="346"/>
      <c r="E528" s="346"/>
      <c r="F528" s="333"/>
      <c r="G528" s="335">
        <f>G529</f>
        <v>5031.17</v>
      </c>
      <c r="H528" s="335">
        <f t="shared" si="303"/>
        <v>0</v>
      </c>
      <c r="I528" s="6">
        <f t="shared" si="269"/>
        <v>0</v>
      </c>
    </row>
    <row r="529" spans="1:9" s="331" customFormat="1" ht="15.75" x14ac:dyDescent="0.25">
      <c r="A529" s="345" t="s">
        <v>508</v>
      </c>
      <c r="B529" s="338" t="s">
        <v>1509</v>
      </c>
      <c r="C529" s="346" t="s">
        <v>507</v>
      </c>
      <c r="D529" s="346" t="s">
        <v>134</v>
      </c>
      <c r="E529" s="346"/>
      <c r="F529" s="333"/>
      <c r="G529" s="335">
        <f>G530+G534</f>
        <v>5031.17</v>
      </c>
      <c r="H529" s="335">
        <f t="shared" ref="H529" si="304">H530+H534</f>
        <v>0</v>
      </c>
      <c r="I529" s="6">
        <f t="shared" si="269"/>
        <v>0</v>
      </c>
    </row>
    <row r="530" spans="1:9" s="331" customFormat="1" ht="55.5" customHeight="1" x14ac:dyDescent="0.25">
      <c r="A530" s="342" t="s">
        <v>1508</v>
      </c>
      <c r="B530" s="338" t="s">
        <v>1510</v>
      </c>
      <c r="C530" s="346" t="s">
        <v>507</v>
      </c>
      <c r="D530" s="346" t="s">
        <v>134</v>
      </c>
      <c r="E530" s="346"/>
      <c r="F530" s="333"/>
      <c r="G530" s="335">
        <f>G531</f>
        <v>206.27</v>
      </c>
      <c r="H530" s="335">
        <f t="shared" ref="H530:H531" si="305">H531</f>
        <v>0</v>
      </c>
      <c r="I530" s="6">
        <f t="shared" si="269"/>
        <v>0</v>
      </c>
    </row>
    <row r="531" spans="1:9" s="331" customFormat="1" ht="31.5" x14ac:dyDescent="0.25">
      <c r="A531" s="342" t="s">
        <v>288</v>
      </c>
      <c r="B531" s="338" t="s">
        <v>1510</v>
      </c>
      <c r="C531" s="346" t="s">
        <v>507</v>
      </c>
      <c r="D531" s="346" t="s">
        <v>134</v>
      </c>
      <c r="E531" s="346" t="s">
        <v>289</v>
      </c>
      <c r="F531" s="333"/>
      <c r="G531" s="335">
        <f>G532</f>
        <v>206.27</v>
      </c>
      <c r="H531" s="335">
        <f t="shared" si="305"/>
        <v>0</v>
      </c>
      <c r="I531" s="6">
        <f t="shared" ref="I531:I594" si="306">H531/G531*100</f>
        <v>0</v>
      </c>
    </row>
    <row r="532" spans="1:9" s="331" customFormat="1" ht="15.75" x14ac:dyDescent="0.25">
      <c r="A532" s="342" t="s">
        <v>290</v>
      </c>
      <c r="B532" s="338" t="s">
        <v>1510</v>
      </c>
      <c r="C532" s="346" t="s">
        <v>507</v>
      </c>
      <c r="D532" s="346" t="s">
        <v>134</v>
      </c>
      <c r="E532" s="346" t="s">
        <v>291</v>
      </c>
      <c r="F532" s="333"/>
      <c r="G532" s="335">
        <f>'Пр.4 ведом.20'!G846</f>
        <v>206.27</v>
      </c>
      <c r="H532" s="335">
        <f>'Пр.4 ведом.20'!H846</f>
        <v>0</v>
      </c>
      <c r="I532" s="6">
        <f t="shared" si="306"/>
        <v>0</v>
      </c>
    </row>
    <row r="533" spans="1:9" s="331" customFormat="1" ht="31.5" x14ac:dyDescent="0.25">
      <c r="A533" s="348" t="s">
        <v>496</v>
      </c>
      <c r="B533" s="338" t="s">
        <v>1510</v>
      </c>
      <c r="C533" s="346" t="s">
        <v>507</v>
      </c>
      <c r="D533" s="346" t="s">
        <v>134</v>
      </c>
      <c r="E533" s="346" t="s">
        <v>291</v>
      </c>
      <c r="F533" s="333">
        <v>907</v>
      </c>
      <c r="G533" s="335">
        <f>G530</f>
        <v>206.27</v>
      </c>
      <c r="H533" s="335">
        <f t="shared" ref="H533" si="307">H530</f>
        <v>0</v>
      </c>
      <c r="I533" s="6">
        <f t="shared" si="306"/>
        <v>0</v>
      </c>
    </row>
    <row r="534" spans="1:9" s="331" customFormat="1" ht="38.25" customHeight="1" x14ac:dyDescent="0.25">
      <c r="A534" s="342" t="s">
        <v>1506</v>
      </c>
      <c r="B534" s="338" t="s">
        <v>1511</v>
      </c>
      <c r="C534" s="346" t="s">
        <v>507</v>
      </c>
      <c r="D534" s="346" t="s">
        <v>134</v>
      </c>
      <c r="E534" s="346"/>
      <c r="F534" s="333"/>
      <c r="G534" s="335">
        <f>G535</f>
        <v>4824.8999999999996</v>
      </c>
      <c r="H534" s="335">
        <f t="shared" ref="H534:H535" si="308">H535</f>
        <v>0</v>
      </c>
      <c r="I534" s="6">
        <f t="shared" si="306"/>
        <v>0</v>
      </c>
    </row>
    <row r="535" spans="1:9" s="331" customFormat="1" ht="31.5" x14ac:dyDescent="0.25">
      <c r="A535" s="342" t="s">
        <v>288</v>
      </c>
      <c r="B535" s="338" t="s">
        <v>1511</v>
      </c>
      <c r="C535" s="346" t="s">
        <v>507</v>
      </c>
      <c r="D535" s="346" t="s">
        <v>134</v>
      </c>
      <c r="E535" s="346" t="s">
        <v>289</v>
      </c>
      <c r="F535" s="333"/>
      <c r="G535" s="335">
        <f>G536</f>
        <v>4824.8999999999996</v>
      </c>
      <c r="H535" s="335">
        <f t="shared" si="308"/>
        <v>0</v>
      </c>
      <c r="I535" s="6">
        <f t="shared" si="306"/>
        <v>0</v>
      </c>
    </row>
    <row r="536" spans="1:9" s="331" customFormat="1" ht="15.75" x14ac:dyDescent="0.25">
      <c r="A536" s="342" t="s">
        <v>290</v>
      </c>
      <c r="B536" s="338" t="s">
        <v>1511</v>
      </c>
      <c r="C536" s="346" t="s">
        <v>507</v>
      </c>
      <c r="D536" s="346" t="s">
        <v>134</v>
      </c>
      <c r="E536" s="346" t="s">
        <v>291</v>
      </c>
      <c r="F536" s="333"/>
      <c r="G536" s="335">
        <f>'Пр.4 ведом.20'!G849</f>
        <v>4824.8999999999996</v>
      </c>
      <c r="H536" s="335">
        <f>'Пр.4 ведом.20'!H849</f>
        <v>0</v>
      </c>
      <c r="I536" s="6">
        <f t="shared" si="306"/>
        <v>0</v>
      </c>
    </row>
    <row r="537" spans="1:9" s="331" customFormat="1" ht="31.5" x14ac:dyDescent="0.25">
      <c r="A537" s="348" t="s">
        <v>496</v>
      </c>
      <c r="B537" s="338" t="s">
        <v>1511</v>
      </c>
      <c r="C537" s="346" t="s">
        <v>507</v>
      </c>
      <c r="D537" s="346" t="s">
        <v>134</v>
      </c>
      <c r="E537" s="346" t="s">
        <v>291</v>
      </c>
      <c r="F537" s="333">
        <v>907</v>
      </c>
      <c r="G537" s="335">
        <f>G534</f>
        <v>4824.8999999999996</v>
      </c>
      <c r="H537" s="335">
        <f t="shared" ref="H537" si="309">H534</f>
        <v>0</v>
      </c>
      <c r="I537" s="6">
        <f t="shared" si="306"/>
        <v>0</v>
      </c>
    </row>
    <row r="538" spans="1:9" ht="47.25" x14ac:dyDescent="0.25">
      <c r="A538" s="58" t="s">
        <v>517</v>
      </c>
      <c r="B538" s="7" t="s">
        <v>518</v>
      </c>
      <c r="C538" s="40"/>
      <c r="D538" s="40"/>
      <c r="E538" s="7"/>
      <c r="F538" s="207"/>
      <c r="G538" s="4">
        <f>G539</f>
        <v>3000</v>
      </c>
      <c r="H538" s="4">
        <f t="shared" ref="H538:H541" si="310">H539</f>
        <v>885.63</v>
      </c>
      <c r="I538" s="4">
        <f t="shared" si="306"/>
        <v>29.520999999999997</v>
      </c>
    </row>
    <row r="539" spans="1:9" s="217" customFormat="1" ht="31.5" x14ac:dyDescent="0.25">
      <c r="A539" s="58" t="s">
        <v>1086</v>
      </c>
      <c r="B539" s="7" t="s">
        <v>1087</v>
      </c>
      <c r="C539" s="7"/>
      <c r="D539" s="7"/>
      <c r="E539" s="7"/>
      <c r="F539" s="207"/>
      <c r="G539" s="4">
        <f>G540</f>
        <v>3000</v>
      </c>
      <c r="H539" s="4">
        <f t="shared" si="310"/>
        <v>885.63</v>
      </c>
      <c r="I539" s="4">
        <f t="shared" si="306"/>
        <v>29.520999999999997</v>
      </c>
    </row>
    <row r="540" spans="1:9" ht="15.75" x14ac:dyDescent="0.25">
      <c r="A540" s="29" t="s">
        <v>506</v>
      </c>
      <c r="B540" s="40" t="s">
        <v>1087</v>
      </c>
      <c r="C540" s="40" t="s">
        <v>507</v>
      </c>
      <c r="D540" s="40"/>
      <c r="E540" s="40"/>
      <c r="F540" s="5"/>
      <c r="G540" s="6">
        <f>G541</f>
        <v>3000</v>
      </c>
      <c r="H540" s="6">
        <f t="shared" si="310"/>
        <v>885.63</v>
      </c>
      <c r="I540" s="6">
        <f t="shared" si="306"/>
        <v>29.520999999999997</v>
      </c>
    </row>
    <row r="541" spans="1:9" ht="31.5" x14ac:dyDescent="0.25">
      <c r="A541" s="25" t="s">
        <v>516</v>
      </c>
      <c r="B541" s="40" t="s">
        <v>1087</v>
      </c>
      <c r="C541" s="40" t="s">
        <v>507</v>
      </c>
      <c r="D541" s="40" t="s">
        <v>250</v>
      </c>
      <c r="E541" s="40"/>
      <c r="F541" s="5"/>
      <c r="G541" s="6">
        <f>G542</f>
        <v>3000</v>
      </c>
      <c r="H541" s="6">
        <f t="shared" si="310"/>
        <v>885.63</v>
      </c>
      <c r="I541" s="6">
        <f t="shared" si="306"/>
        <v>29.520999999999997</v>
      </c>
    </row>
    <row r="542" spans="1:9" ht="15.75" x14ac:dyDescent="0.25">
      <c r="A542" s="29" t="s">
        <v>1088</v>
      </c>
      <c r="B542" s="40" t="s">
        <v>1236</v>
      </c>
      <c r="C542" s="40" t="s">
        <v>507</v>
      </c>
      <c r="D542" s="40" t="s">
        <v>250</v>
      </c>
      <c r="E542" s="40"/>
      <c r="F542" s="5"/>
      <c r="G542" s="6">
        <f>G543+G546</f>
        <v>3000</v>
      </c>
      <c r="H542" s="6">
        <f t="shared" ref="H542" si="311">H543+H546</f>
        <v>885.63</v>
      </c>
      <c r="I542" s="6">
        <f t="shared" si="306"/>
        <v>29.520999999999997</v>
      </c>
    </row>
    <row r="543" spans="1:9" ht="78.75" x14ac:dyDescent="0.25">
      <c r="A543" s="25" t="s">
        <v>143</v>
      </c>
      <c r="B543" s="40" t="s">
        <v>1236</v>
      </c>
      <c r="C543" s="40" t="s">
        <v>507</v>
      </c>
      <c r="D543" s="40" t="s">
        <v>250</v>
      </c>
      <c r="E543" s="40" t="s">
        <v>144</v>
      </c>
      <c r="F543" s="5"/>
      <c r="G543" s="6">
        <f t="shared" ref="G543:H543" si="312">G544</f>
        <v>2400</v>
      </c>
      <c r="H543" s="6">
        <f t="shared" si="312"/>
        <v>453</v>
      </c>
      <c r="I543" s="6">
        <f t="shared" si="306"/>
        <v>18.875</v>
      </c>
    </row>
    <row r="544" spans="1:9" ht="24" customHeight="1" x14ac:dyDescent="0.25">
      <c r="A544" s="25" t="s">
        <v>358</v>
      </c>
      <c r="B544" s="40" t="s">
        <v>1236</v>
      </c>
      <c r="C544" s="40" t="s">
        <v>507</v>
      </c>
      <c r="D544" s="40" t="s">
        <v>250</v>
      </c>
      <c r="E544" s="40" t="s">
        <v>225</v>
      </c>
      <c r="F544" s="5"/>
      <c r="G544" s="6">
        <f>'Пр.4 ведом.20'!G881</f>
        <v>2400</v>
      </c>
      <c r="H544" s="6">
        <f>'Пр.4 ведом.20'!H881</f>
        <v>453</v>
      </c>
      <c r="I544" s="6">
        <f t="shared" si="306"/>
        <v>18.875</v>
      </c>
    </row>
    <row r="545" spans="1:9" s="217" customFormat="1" ht="24" customHeight="1" x14ac:dyDescent="0.25">
      <c r="A545" s="70" t="s">
        <v>496</v>
      </c>
      <c r="B545" s="40" t="s">
        <v>1236</v>
      </c>
      <c r="C545" s="40" t="s">
        <v>507</v>
      </c>
      <c r="D545" s="40" t="s">
        <v>250</v>
      </c>
      <c r="E545" s="40" t="s">
        <v>225</v>
      </c>
      <c r="F545" s="5">
        <v>907</v>
      </c>
      <c r="G545" s="10">
        <f>G544</f>
        <v>2400</v>
      </c>
      <c r="H545" s="335">
        <f t="shared" ref="H545" si="313">H544</f>
        <v>453</v>
      </c>
      <c r="I545" s="6">
        <f t="shared" si="306"/>
        <v>18.875</v>
      </c>
    </row>
    <row r="546" spans="1:9" ht="31.5" x14ac:dyDescent="0.25">
      <c r="A546" s="29" t="s">
        <v>147</v>
      </c>
      <c r="B546" s="40" t="s">
        <v>1236</v>
      </c>
      <c r="C546" s="40" t="s">
        <v>507</v>
      </c>
      <c r="D546" s="40" t="s">
        <v>250</v>
      </c>
      <c r="E546" s="40" t="s">
        <v>148</v>
      </c>
      <c r="F546" s="5"/>
      <c r="G546" s="6">
        <f t="shared" ref="G546:H546" si="314">G547</f>
        <v>600</v>
      </c>
      <c r="H546" s="6">
        <f t="shared" si="314"/>
        <v>432.63</v>
      </c>
      <c r="I546" s="6">
        <f t="shared" si="306"/>
        <v>72.10499999999999</v>
      </c>
    </row>
    <row r="547" spans="1:9" ht="31.5" x14ac:dyDescent="0.25">
      <c r="A547" s="29" t="s">
        <v>149</v>
      </c>
      <c r="B547" s="40" t="s">
        <v>1236</v>
      </c>
      <c r="C547" s="40" t="s">
        <v>507</v>
      </c>
      <c r="D547" s="40" t="s">
        <v>250</v>
      </c>
      <c r="E547" s="40" t="s">
        <v>150</v>
      </c>
      <c r="F547" s="5"/>
      <c r="G547" s="6">
        <f>'Пр.4 ведом.20'!G883</f>
        <v>600</v>
      </c>
      <c r="H547" s="6">
        <f>'Пр.4 ведом.20'!H883</f>
        <v>432.63</v>
      </c>
      <c r="I547" s="6">
        <f t="shared" si="306"/>
        <v>72.10499999999999</v>
      </c>
    </row>
    <row r="548" spans="1:9" ht="31.5" x14ac:dyDescent="0.25">
      <c r="A548" s="70" t="s">
        <v>496</v>
      </c>
      <c r="B548" s="40" t="s">
        <v>1236</v>
      </c>
      <c r="C548" s="40" t="s">
        <v>507</v>
      </c>
      <c r="D548" s="40" t="s">
        <v>250</v>
      </c>
      <c r="E548" s="40" t="s">
        <v>150</v>
      </c>
      <c r="F548" s="5">
        <v>907</v>
      </c>
      <c r="G548" s="10">
        <f>G547</f>
        <v>600</v>
      </c>
      <c r="H548" s="335">
        <f t="shared" ref="H548" si="315">H547</f>
        <v>432.63</v>
      </c>
      <c r="I548" s="6">
        <f t="shared" si="306"/>
        <v>72.10499999999999</v>
      </c>
    </row>
    <row r="549" spans="1:9" ht="31.5" x14ac:dyDescent="0.25">
      <c r="A549" s="41" t="s">
        <v>282</v>
      </c>
      <c r="B549" s="7" t="s">
        <v>283</v>
      </c>
      <c r="C549" s="72"/>
      <c r="D549" s="72"/>
      <c r="E549" s="72"/>
      <c r="F549" s="3"/>
      <c r="G549" s="59">
        <f>G550+G599+G653</f>
        <v>70492.823000000004</v>
      </c>
      <c r="H549" s="347">
        <f t="shared" ref="H549" si="316">H550+H599+H653</f>
        <v>32684.02</v>
      </c>
      <c r="I549" s="4">
        <f t="shared" si="306"/>
        <v>46.365032082769616</v>
      </c>
    </row>
    <row r="550" spans="1:9" ht="72.75" customHeight="1" x14ac:dyDescent="0.25">
      <c r="A550" s="41" t="s">
        <v>317</v>
      </c>
      <c r="B550" s="7" t="s">
        <v>318</v>
      </c>
      <c r="C550" s="7"/>
      <c r="D550" s="7"/>
      <c r="E550" s="72"/>
      <c r="F550" s="3"/>
      <c r="G550" s="59">
        <f>G551+G564+G574+G581+G592</f>
        <v>29748.222999999998</v>
      </c>
      <c r="H550" s="347">
        <f t="shared" ref="H550" si="317">H551+H564+H574+H581+H592</f>
        <v>13693.05</v>
      </c>
      <c r="I550" s="4">
        <f t="shared" si="306"/>
        <v>46.02980823425991</v>
      </c>
    </row>
    <row r="551" spans="1:9" s="217" customFormat="1" ht="50.25" customHeight="1" x14ac:dyDescent="0.25">
      <c r="A551" s="23" t="s">
        <v>956</v>
      </c>
      <c r="B551" s="24" t="s">
        <v>957</v>
      </c>
      <c r="C551" s="7"/>
      <c r="D551" s="7"/>
      <c r="E551" s="7"/>
      <c r="F551" s="3"/>
      <c r="G551" s="59">
        <f>G552</f>
        <v>25834</v>
      </c>
      <c r="H551" s="347">
        <f t="shared" ref="H551:H553" si="318">H552</f>
        <v>12584.92</v>
      </c>
      <c r="I551" s="4">
        <f t="shared" si="306"/>
        <v>48.714562204846331</v>
      </c>
    </row>
    <row r="552" spans="1:9" ht="15.75" x14ac:dyDescent="0.25">
      <c r="A552" s="73" t="s">
        <v>314</v>
      </c>
      <c r="B552" s="40" t="s">
        <v>957</v>
      </c>
      <c r="C552" s="40" t="s">
        <v>315</v>
      </c>
      <c r="D552" s="73"/>
      <c r="E552" s="73"/>
      <c r="F552" s="2"/>
      <c r="G552" s="10">
        <f>G553</f>
        <v>25834</v>
      </c>
      <c r="H552" s="335">
        <f t="shared" si="318"/>
        <v>12584.92</v>
      </c>
      <c r="I552" s="6">
        <f t="shared" si="306"/>
        <v>48.714562204846331</v>
      </c>
    </row>
    <row r="553" spans="1:9" ht="15.75" x14ac:dyDescent="0.25">
      <c r="A553" s="73" t="s">
        <v>316</v>
      </c>
      <c r="B553" s="40" t="s">
        <v>957</v>
      </c>
      <c r="C553" s="40" t="s">
        <v>315</v>
      </c>
      <c r="D553" s="40" t="s">
        <v>134</v>
      </c>
      <c r="E553" s="73"/>
      <c r="F553" s="2"/>
      <c r="G553" s="10">
        <f>G554</f>
        <v>25834</v>
      </c>
      <c r="H553" s="335">
        <f t="shared" si="318"/>
        <v>12584.92</v>
      </c>
      <c r="I553" s="6">
        <f t="shared" si="306"/>
        <v>48.714562204846331</v>
      </c>
    </row>
    <row r="554" spans="1:9" ht="15.75" x14ac:dyDescent="0.25">
      <c r="A554" s="25" t="s">
        <v>832</v>
      </c>
      <c r="B554" s="20" t="s">
        <v>955</v>
      </c>
      <c r="C554" s="40" t="s">
        <v>315</v>
      </c>
      <c r="D554" s="40" t="s">
        <v>134</v>
      </c>
      <c r="E554" s="40"/>
      <c r="F554" s="2"/>
      <c r="G554" s="10">
        <f>G555+G558+G561</f>
        <v>25834</v>
      </c>
      <c r="H554" s="335">
        <f t="shared" ref="H554" si="319">H555+H558+H561</f>
        <v>12584.92</v>
      </c>
      <c r="I554" s="6">
        <f t="shared" si="306"/>
        <v>48.714562204846331</v>
      </c>
    </row>
    <row r="555" spans="1:9" ht="78.75" x14ac:dyDescent="0.25">
      <c r="A555" s="25" t="s">
        <v>143</v>
      </c>
      <c r="B555" s="20" t="s">
        <v>955</v>
      </c>
      <c r="C555" s="40" t="s">
        <v>315</v>
      </c>
      <c r="D555" s="40" t="s">
        <v>134</v>
      </c>
      <c r="E555" s="40" t="s">
        <v>144</v>
      </c>
      <c r="F555" s="2"/>
      <c r="G555" s="10">
        <f>G556</f>
        <v>20047.5</v>
      </c>
      <c r="H555" s="335">
        <f t="shared" ref="H555" si="320">H556</f>
        <v>9389.6</v>
      </c>
      <c r="I555" s="6">
        <f t="shared" si="306"/>
        <v>46.836762688614542</v>
      </c>
    </row>
    <row r="556" spans="1:9" ht="15.75" x14ac:dyDescent="0.25">
      <c r="A556" s="25" t="s">
        <v>224</v>
      </c>
      <c r="B556" s="20" t="s">
        <v>955</v>
      </c>
      <c r="C556" s="40" t="s">
        <v>315</v>
      </c>
      <c r="D556" s="40" t="s">
        <v>134</v>
      </c>
      <c r="E556" s="40" t="s">
        <v>225</v>
      </c>
      <c r="F556" s="2"/>
      <c r="G556" s="10">
        <f>'Пр.4 ведом.20'!G345</f>
        <v>20047.5</v>
      </c>
      <c r="H556" s="335">
        <f>'Пр.4 ведом.20'!H345</f>
        <v>9389.6</v>
      </c>
      <c r="I556" s="6">
        <f t="shared" si="306"/>
        <v>46.836762688614542</v>
      </c>
    </row>
    <row r="557" spans="1:9" s="217" customFormat="1" ht="47.25" x14ac:dyDescent="0.25">
      <c r="A557" s="25" t="s">
        <v>1269</v>
      </c>
      <c r="B557" s="20" t="s">
        <v>955</v>
      </c>
      <c r="C557" s="40" t="s">
        <v>315</v>
      </c>
      <c r="D557" s="40" t="s">
        <v>134</v>
      </c>
      <c r="E557" s="40" t="s">
        <v>225</v>
      </c>
      <c r="F557" s="2">
        <v>903</v>
      </c>
      <c r="G557" s="10">
        <f>G556</f>
        <v>20047.5</v>
      </c>
      <c r="H557" s="335">
        <f t="shared" ref="H557" si="321">H556</f>
        <v>9389.6</v>
      </c>
      <c r="I557" s="6">
        <f t="shared" si="306"/>
        <v>46.836762688614542</v>
      </c>
    </row>
    <row r="558" spans="1:9" ht="31.5" x14ac:dyDescent="0.25">
      <c r="A558" s="25" t="s">
        <v>147</v>
      </c>
      <c r="B558" s="20" t="s">
        <v>955</v>
      </c>
      <c r="C558" s="40" t="s">
        <v>315</v>
      </c>
      <c r="D558" s="40" t="s">
        <v>134</v>
      </c>
      <c r="E558" s="40" t="s">
        <v>148</v>
      </c>
      <c r="F558" s="2"/>
      <c r="G558" s="10">
        <f>G559</f>
        <v>5666.5</v>
      </c>
      <c r="H558" s="335">
        <f t="shared" ref="H558" si="322">H559</f>
        <v>3079.22</v>
      </c>
      <c r="I558" s="6">
        <f t="shared" si="306"/>
        <v>54.340774728668485</v>
      </c>
    </row>
    <row r="559" spans="1:9" ht="31.5" x14ac:dyDescent="0.25">
      <c r="A559" s="25" t="s">
        <v>149</v>
      </c>
      <c r="B559" s="20" t="s">
        <v>955</v>
      </c>
      <c r="C559" s="40" t="s">
        <v>315</v>
      </c>
      <c r="D559" s="40" t="s">
        <v>134</v>
      </c>
      <c r="E559" s="40" t="s">
        <v>150</v>
      </c>
      <c r="F559" s="2"/>
      <c r="G559" s="10">
        <f>'Пр.4 ведом.20'!G347</f>
        <v>5666.5</v>
      </c>
      <c r="H559" s="335">
        <f>'Пр.4 ведом.20'!H347</f>
        <v>3079.22</v>
      </c>
      <c r="I559" s="6">
        <f t="shared" si="306"/>
        <v>54.340774728668485</v>
      </c>
    </row>
    <row r="560" spans="1:9" s="217" customFormat="1" ht="47.25" x14ac:dyDescent="0.25">
      <c r="A560" s="25" t="s">
        <v>1269</v>
      </c>
      <c r="B560" s="20" t="s">
        <v>955</v>
      </c>
      <c r="C560" s="40" t="s">
        <v>315</v>
      </c>
      <c r="D560" s="40" t="s">
        <v>134</v>
      </c>
      <c r="E560" s="40" t="s">
        <v>150</v>
      </c>
      <c r="F560" s="2">
        <v>903</v>
      </c>
      <c r="G560" s="10">
        <f>G559</f>
        <v>5666.5</v>
      </c>
      <c r="H560" s="335">
        <f t="shared" ref="H560" si="323">H559</f>
        <v>3079.22</v>
      </c>
      <c r="I560" s="6">
        <f t="shared" si="306"/>
        <v>54.340774728668485</v>
      </c>
    </row>
    <row r="561" spans="1:9" ht="15.75" customHeight="1" x14ac:dyDescent="0.25">
      <c r="A561" s="25" t="s">
        <v>151</v>
      </c>
      <c r="B561" s="20" t="s">
        <v>955</v>
      </c>
      <c r="C561" s="40" t="s">
        <v>315</v>
      </c>
      <c r="D561" s="40" t="s">
        <v>134</v>
      </c>
      <c r="E561" s="40" t="s">
        <v>161</v>
      </c>
      <c r="F561" s="2"/>
      <c r="G561" s="10">
        <f>G562</f>
        <v>120</v>
      </c>
      <c r="H561" s="335">
        <f t="shared" ref="H561" si="324">H562</f>
        <v>116.1</v>
      </c>
      <c r="I561" s="6">
        <f t="shared" si="306"/>
        <v>96.749999999999986</v>
      </c>
    </row>
    <row r="562" spans="1:9" ht="15.75" customHeight="1" x14ac:dyDescent="0.25">
      <c r="A562" s="25" t="s">
        <v>153</v>
      </c>
      <c r="B562" s="20" t="s">
        <v>955</v>
      </c>
      <c r="C562" s="40" t="s">
        <v>315</v>
      </c>
      <c r="D562" s="40" t="s">
        <v>134</v>
      </c>
      <c r="E562" s="40" t="s">
        <v>154</v>
      </c>
      <c r="F562" s="2"/>
      <c r="G562" s="10">
        <f>'Пр.4 ведом.20'!G349</f>
        <v>120</v>
      </c>
      <c r="H562" s="335">
        <f>'Пр.4 ведом.20'!H349</f>
        <v>116.1</v>
      </c>
      <c r="I562" s="6">
        <f t="shared" si="306"/>
        <v>96.749999999999986</v>
      </c>
    </row>
    <row r="563" spans="1:9" s="217" customFormat="1" ht="50.25" customHeight="1" x14ac:dyDescent="0.25">
      <c r="A563" s="25" t="s">
        <v>1269</v>
      </c>
      <c r="B563" s="20" t="s">
        <v>955</v>
      </c>
      <c r="C563" s="40" t="s">
        <v>315</v>
      </c>
      <c r="D563" s="40" t="s">
        <v>134</v>
      </c>
      <c r="E563" s="40" t="s">
        <v>154</v>
      </c>
      <c r="F563" s="2">
        <v>903</v>
      </c>
      <c r="G563" s="10">
        <f>G562</f>
        <v>120</v>
      </c>
      <c r="H563" s="335">
        <f t="shared" ref="H563" si="325">H562</f>
        <v>116.1</v>
      </c>
      <c r="I563" s="6">
        <f t="shared" si="306"/>
        <v>96.749999999999986</v>
      </c>
    </row>
    <row r="564" spans="1:9" s="217" customFormat="1" ht="31.7" customHeight="1" x14ac:dyDescent="0.25">
      <c r="A564" s="229" t="s">
        <v>970</v>
      </c>
      <c r="B564" s="24" t="s">
        <v>958</v>
      </c>
      <c r="C564" s="7"/>
      <c r="D564" s="7"/>
      <c r="E564" s="7"/>
      <c r="F564" s="3"/>
      <c r="G564" s="59">
        <f>G567+G571</f>
        <v>1171</v>
      </c>
      <c r="H564" s="347">
        <f t="shared" ref="H564" si="326">H567+H571</f>
        <v>378.8</v>
      </c>
      <c r="I564" s="4">
        <f t="shared" si="306"/>
        <v>32.348420153714777</v>
      </c>
    </row>
    <row r="565" spans="1:9" s="217" customFormat="1" ht="16.5" customHeight="1" x14ac:dyDescent="0.25">
      <c r="A565" s="73" t="s">
        <v>314</v>
      </c>
      <c r="B565" s="40" t="s">
        <v>958</v>
      </c>
      <c r="C565" s="40" t="s">
        <v>315</v>
      </c>
      <c r="D565" s="73"/>
      <c r="E565" s="73"/>
      <c r="F565" s="2"/>
      <c r="G565" s="10">
        <f>G566</f>
        <v>1171</v>
      </c>
      <c r="H565" s="335">
        <f t="shared" ref="H565" si="327">H566</f>
        <v>378.8</v>
      </c>
      <c r="I565" s="6">
        <f t="shared" si="306"/>
        <v>32.348420153714777</v>
      </c>
    </row>
    <row r="566" spans="1:9" s="217" customFormat="1" ht="16.5" customHeight="1" x14ac:dyDescent="0.25">
      <c r="A566" s="73" t="s">
        <v>316</v>
      </c>
      <c r="B566" s="40" t="s">
        <v>958</v>
      </c>
      <c r="C566" s="40" t="s">
        <v>315</v>
      </c>
      <c r="D566" s="40" t="s">
        <v>134</v>
      </c>
      <c r="E566" s="73"/>
      <c r="F566" s="2"/>
      <c r="G566" s="10">
        <f>G567+G571</f>
        <v>1171</v>
      </c>
      <c r="H566" s="335">
        <f t="shared" ref="H566" si="328">H567+H571</f>
        <v>378.8</v>
      </c>
      <c r="I566" s="6">
        <f t="shared" si="306"/>
        <v>32.348420153714777</v>
      </c>
    </row>
    <row r="567" spans="1:9" s="217" customFormat="1" ht="41.25" customHeight="1" x14ac:dyDescent="0.25">
      <c r="A567" s="31" t="s">
        <v>860</v>
      </c>
      <c r="B567" s="20" t="s">
        <v>959</v>
      </c>
      <c r="C567" s="40" t="s">
        <v>315</v>
      </c>
      <c r="D567" s="40" t="s">
        <v>134</v>
      </c>
      <c r="E567" s="40"/>
      <c r="F567" s="2"/>
      <c r="G567" s="10">
        <f>G568</f>
        <v>455.4</v>
      </c>
      <c r="H567" s="335">
        <f t="shared" ref="H567:H568" si="329">H568</f>
        <v>26.7</v>
      </c>
      <c r="I567" s="6">
        <f t="shared" si="306"/>
        <v>5.8629776021080371</v>
      </c>
    </row>
    <row r="568" spans="1:9" s="217" customFormat="1" ht="83.25" customHeight="1" x14ac:dyDescent="0.25">
      <c r="A568" s="25" t="s">
        <v>143</v>
      </c>
      <c r="B568" s="20" t="s">
        <v>959</v>
      </c>
      <c r="C568" s="40" t="s">
        <v>315</v>
      </c>
      <c r="D568" s="40" t="s">
        <v>134</v>
      </c>
      <c r="E568" s="40" t="s">
        <v>144</v>
      </c>
      <c r="F568" s="2"/>
      <c r="G568" s="10">
        <f>G569</f>
        <v>455.4</v>
      </c>
      <c r="H568" s="335">
        <f t="shared" si="329"/>
        <v>26.7</v>
      </c>
      <c r="I568" s="6">
        <f t="shared" si="306"/>
        <v>5.8629776021080371</v>
      </c>
    </row>
    <row r="569" spans="1:9" s="217" customFormat="1" ht="15.75" customHeight="1" x14ac:dyDescent="0.25">
      <c r="A569" s="25" t="s">
        <v>224</v>
      </c>
      <c r="B569" s="20" t="s">
        <v>959</v>
      </c>
      <c r="C569" s="40" t="s">
        <v>315</v>
      </c>
      <c r="D569" s="40" t="s">
        <v>134</v>
      </c>
      <c r="E569" s="40" t="s">
        <v>225</v>
      </c>
      <c r="F569" s="2"/>
      <c r="G569" s="10">
        <f>'Пр.3 Рд,пр, ЦС,ВР 20'!F814</f>
        <v>455.4</v>
      </c>
      <c r="H569" s="335">
        <f>'Пр.3 Рд,пр, ЦС,ВР 20'!G814</f>
        <v>26.7</v>
      </c>
      <c r="I569" s="6">
        <f t="shared" si="306"/>
        <v>5.8629776021080371</v>
      </c>
    </row>
    <row r="570" spans="1:9" s="217" customFormat="1" ht="15.75" customHeight="1" x14ac:dyDescent="0.25">
      <c r="A570" s="25" t="s">
        <v>1269</v>
      </c>
      <c r="B570" s="20" t="s">
        <v>959</v>
      </c>
      <c r="C570" s="40" t="s">
        <v>315</v>
      </c>
      <c r="D570" s="40" t="s">
        <v>134</v>
      </c>
      <c r="E570" s="40" t="s">
        <v>225</v>
      </c>
      <c r="F570" s="2">
        <v>903</v>
      </c>
      <c r="G570" s="10">
        <f>G569</f>
        <v>455.4</v>
      </c>
      <c r="H570" s="335">
        <f t="shared" ref="H570" si="330">H569</f>
        <v>26.7</v>
      </c>
      <c r="I570" s="6">
        <f t="shared" si="306"/>
        <v>5.8629776021080371</v>
      </c>
    </row>
    <row r="571" spans="1:9" s="217" customFormat="1" ht="40.700000000000003" customHeight="1" x14ac:dyDescent="0.25">
      <c r="A571" s="25" t="s">
        <v>147</v>
      </c>
      <c r="B571" s="20" t="s">
        <v>959</v>
      </c>
      <c r="C571" s="40" t="s">
        <v>315</v>
      </c>
      <c r="D571" s="40" t="s">
        <v>134</v>
      </c>
      <c r="E571" s="40" t="s">
        <v>148</v>
      </c>
      <c r="F571" s="2"/>
      <c r="G571" s="10">
        <f>G572</f>
        <v>715.6</v>
      </c>
      <c r="H571" s="335">
        <f t="shared" ref="H571" si="331">H572</f>
        <v>352.1</v>
      </c>
      <c r="I571" s="6">
        <f t="shared" si="306"/>
        <v>49.203465623253216</v>
      </c>
    </row>
    <row r="572" spans="1:9" s="217" customFormat="1" ht="40.700000000000003" customHeight="1" x14ac:dyDescent="0.25">
      <c r="A572" s="25" t="s">
        <v>149</v>
      </c>
      <c r="B572" s="20" t="s">
        <v>959</v>
      </c>
      <c r="C572" s="40" t="s">
        <v>315</v>
      </c>
      <c r="D572" s="40" t="s">
        <v>134</v>
      </c>
      <c r="E572" s="40" t="s">
        <v>150</v>
      </c>
      <c r="F572" s="2"/>
      <c r="G572" s="10">
        <f>'Пр.3 Рд,пр, ЦС,ВР 20'!F816</f>
        <v>715.6</v>
      </c>
      <c r="H572" s="335">
        <f>'Пр.3 Рд,пр, ЦС,ВР 20'!G816</f>
        <v>352.1</v>
      </c>
      <c r="I572" s="6">
        <f t="shared" si="306"/>
        <v>49.203465623253216</v>
      </c>
    </row>
    <row r="573" spans="1:9" s="217" customFormat="1" ht="46.5" customHeight="1" x14ac:dyDescent="0.25">
      <c r="A573" s="25" t="s">
        <v>1269</v>
      </c>
      <c r="B573" s="20" t="s">
        <v>959</v>
      </c>
      <c r="C573" s="40" t="s">
        <v>315</v>
      </c>
      <c r="D573" s="40" t="s">
        <v>134</v>
      </c>
      <c r="E573" s="40" t="s">
        <v>150</v>
      </c>
      <c r="F573" s="2">
        <v>903</v>
      </c>
      <c r="G573" s="10">
        <f>G572</f>
        <v>715.6</v>
      </c>
      <c r="H573" s="335">
        <f t="shared" ref="H573" si="332">H572</f>
        <v>352.1</v>
      </c>
      <c r="I573" s="6">
        <f t="shared" si="306"/>
        <v>49.203465623253216</v>
      </c>
    </row>
    <row r="574" spans="1:9" s="217" customFormat="1" ht="35.450000000000003" customHeight="1" x14ac:dyDescent="0.25">
      <c r="A574" s="23" t="s">
        <v>1076</v>
      </c>
      <c r="B574" s="24" t="s">
        <v>1164</v>
      </c>
      <c r="C574" s="7"/>
      <c r="D574" s="7"/>
      <c r="E574" s="7"/>
      <c r="F574" s="3"/>
      <c r="G574" s="59">
        <f>G577</f>
        <v>588</v>
      </c>
      <c r="H574" s="347">
        <f t="shared" ref="H574" si="333">H577</f>
        <v>578.9</v>
      </c>
      <c r="I574" s="4">
        <f t="shared" si="306"/>
        <v>98.452380952380949</v>
      </c>
    </row>
    <row r="575" spans="1:9" s="217" customFormat="1" ht="16.5" customHeight="1" x14ac:dyDescent="0.25">
      <c r="A575" s="73" t="s">
        <v>314</v>
      </c>
      <c r="B575" s="40" t="s">
        <v>1164</v>
      </c>
      <c r="C575" s="40" t="s">
        <v>315</v>
      </c>
      <c r="D575" s="73"/>
      <c r="E575" s="73"/>
      <c r="F575" s="2"/>
      <c r="G575" s="10">
        <f>G576</f>
        <v>1412.3</v>
      </c>
      <c r="H575" s="335">
        <f t="shared" ref="H575" si="334">H576</f>
        <v>729.32999999999993</v>
      </c>
      <c r="I575" s="6">
        <f t="shared" si="306"/>
        <v>51.641294342561771</v>
      </c>
    </row>
    <row r="576" spans="1:9" s="217" customFormat="1" ht="18.75" customHeight="1" x14ac:dyDescent="0.25">
      <c r="A576" s="73" t="s">
        <v>316</v>
      </c>
      <c r="B576" s="40" t="s">
        <v>1164</v>
      </c>
      <c r="C576" s="40" t="s">
        <v>315</v>
      </c>
      <c r="D576" s="40" t="s">
        <v>134</v>
      </c>
      <c r="E576" s="73"/>
      <c r="F576" s="2"/>
      <c r="G576" s="10">
        <f>G577+G581</f>
        <v>1412.3</v>
      </c>
      <c r="H576" s="335">
        <f t="shared" ref="H576" si="335">H577+H581</f>
        <v>729.32999999999993</v>
      </c>
      <c r="I576" s="6">
        <f t="shared" si="306"/>
        <v>51.641294342561771</v>
      </c>
    </row>
    <row r="577" spans="1:9" s="217" customFormat="1" ht="43.5" customHeight="1" x14ac:dyDescent="0.25">
      <c r="A577" s="25" t="s">
        <v>885</v>
      </c>
      <c r="B577" s="20" t="s">
        <v>1165</v>
      </c>
      <c r="C577" s="40" t="s">
        <v>315</v>
      </c>
      <c r="D577" s="40" t="s">
        <v>134</v>
      </c>
      <c r="E577" s="40"/>
      <c r="F577" s="2"/>
      <c r="G577" s="10">
        <f>G578</f>
        <v>588</v>
      </c>
      <c r="H577" s="335">
        <f t="shared" ref="H577:H578" si="336">H578</f>
        <v>578.9</v>
      </c>
      <c r="I577" s="6">
        <f t="shared" si="306"/>
        <v>98.452380952380949</v>
      </c>
    </row>
    <row r="578" spans="1:9" s="217" customFormat="1" ht="81" customHeight="1" x14ac:dyDescent="0.25">
      <c r="A578" s="25" t="s">
        <v>143</v>
      </c>
      <c r="B578" s="20" t="s">
        <v>1165</v>
      </c>
      <c r="C578" s="40" t="s">
        <v>315</v>
      </c>
      <c r="D578" s="40" t="s">
        <v>134</v>
      </c>
      <c r="E578" s="40" t="s">
        <v>144</v>
      </c>
      <c r="F578" s="2"/>
      <c r="G578" s="10">
        <f>G579</f>
        <v>588</v>
      </c>
      <c r="H578" s="335">
        <f t="shared" si="336"/>
        <v>578.9</v>
      </c>
      <c r="I578" s="6">
        <f t="shared" si="306"/>
        <v>98.452380952380949</v>
      </c>
    </row>
    <row r="579" spans="1:9" s="217" customFormat="1" ht="38.25" customHeight="1" x14ac:dyDescent="0.25">
      <c r="A579" s="25" t="s">
        <v>145</v>
      </c>
      <c r="B579" s="20" t="s">
        <v>1165</v>
      </c>
      <c r="C579" s="40" t="s">
        <v>315</v>
      </c>
      <c r="D579" s="40" t="s">
        <v>134</v>
      </c>
      <c r="E579" s="40" t="s">
        <v>225</v>
      </c>
      <c r="F579" s="2"/>
      <c r="G579" s="10">
        <f>'Пр.3 Рд,пр, ЦС,ВР 20'!F820</f>
        <v>588</v>
      </c>
      <c r="H579" s="335">
        <f>'Пр.3 Рд,пр, ЦС,ВР 20'!G820</f>
        <v>578.9</v>
      </c>
      <c r="I579" s="6">
        <f t="shared" si="306"/>
        <v>98.452380952380949</v>
      </c>
    </row>
    <row r="580" spans="1:9" s="217" customFormat="1" ht="47.25" customHeight="1" x14ac:dyDescent="0.25">
      <c r="A580" s="25" t="s">
        <v>1269</v>
      </c>
      <c r="B580" s="20" t="s">
        <v>1165</v>
      </c>
      <c r="C580" s="40" t="s">
        <v>315</v>
      </c>
      <c r="D580" s="40" t="s">
        <v>134</v>
      </c>
      <c r="E580" s="40" t="s">
        <v>225</v>
      </c>
      <c r="F580" s="2">
        <v>903</v>
      </c>
      <c r="G580" s="10">
        <f>G579</f>
        <v>588</v>
      </c>
      <c r="H580" s="335">
        <f t="shared" ref="H580" si="337">H579</f>
        <v>578.9</v>
      </c>
      <c r="I580" s="6">
        <f t="shared" si="306"/>
        <v>98.452380952380949</v>
      </c>
    </row>
    <row r="581" spans="1:9" s="217" customFormat="1" ht="48.2" customHeight="1" x14ac:dyDescent="0.25">
      <c r="A581" s="230" t="s">
        <v>971</v>
      </c>
      <c r="B581" s="24" t="s">
        <v>1166</v>
      </c>
      <c r="C581" s="7"/>
      <c r="D581" s="7"/>
      <c r="E581" s="7"/>
      <c r="F581" s="3"/>
      <c r="G581" s="59">
        <f>G588+G584</f>
        <v>824.3</v>
      </c>
      <c r="H581" s="347">
        <f t="shared" ref="H581" si="338">H588+H584</f>
        <v>150.43</v>
      </c>
      <c r="I581" s="4">
        <f t="shared" si="306"/>
        <v>18.249423753487807</v>
      </c>
    </row>
    <row r="582" spans="1:9" s="217" customFormat="1" ht="17.45" customHeight="1" x14ac:dyDescent="0.25">
      <c r="A582" s="73" t="s">
        <v>314</v>
      </c>
      <c r="B582" s="40" t="s">
        <v>1166</v>
      </c>
      <c r="C582" s="40" t="s">
        <v>315</v>
      </c>
      <c r="D582" s="73"/>
      <c r="E582" s="73"/>
      <c r="F582" s="2"/>
      <c r="G582" s="10">
        <f>G583</f>
        <v>824.3</v>
      </c>
      <c r="H582" s="335">
        <f t="shared" ref="H582" si="339">H583</f>
        <v>150.43</v>
      </c>
      <c r="I582" s="6">
        <f t="shared" si="306"/>
        <v>18.249423753487807</v>
      </c>
    </row>
    <row r="583" spans="1:9" s="217" customFormat="1" ht="18" customHeight="1" x14ac:dyDescent="0.25">
      <c r="A583" s="73" t="s">
        <v>316</v>
      </c>
      <c r="B583" s="40" t="s">
        <v>1166</v>
      </c>
      <c r="C583" s="40" t="s">
        <v>315</v>
      </c>
      <c r="D583" s="40" t="s">
        <v>134</v>
      </c>
      <c r="E583" s="73"/>
      <c r="F583" s="2"/>
      <c r="G583" s="10">
        <f>G588+G584</f>
        <v>824.3</v>
      </c>
      <c r="H583" s="335">
        <f t="shared" ref="H583" si="340">H588+H584</f>
        <v>150.43</v>
      </c>
      <c r="I583" s="6">
        <f t="shared" si="306"/>
        <v>18.249423753487807</v>
      </c>
    </row>
    <row r="584" spans="1:9" s="331" customFormat="1" ht="94.5" x14ac:dyDescent="0.25">
      <c r="A584" s="31" t="s">
        <v>309</v>
      </c>
      <c r="B584" s="338" t="s">
        <v>1523</v>
      </c>
      <c r="C584" s="346" t="s">
        <v>315</v>
      </c>
      <c r="D584" s="346" t="s">
        <v>134</v>
      </c>
      <c r="E584" s="350"/>
      <c r="F584" s="2"/>
      <c r="G584" s="335">
        <f>G585</f>
        <v>749.3</v>
      </c>
      <c r="H584" s="335">
        <f t="shared" ref="H584:H585" si="341">H585</f>
        <v>75.86</v>
      </c>
      <c r="I584" s="6">
        <f t="shared" si="306"/>
        <v>10.124115841452022</v>
      </c>
    </row>
    <row r="585" spans="1:9" s="331" customFormat="1" ht="78.75" x14ac:dyDescent="0.25">
      <c r="A585" s="342" t="s">
        <v>143</v>
      </c>
      <c r="B585" s="338" t="s">
        <v>1523</v>
      </c>
      <c r="C585" s="346" t="s">
        <v>315</v>
      </c>
      <c r="D585" s="346" t="s">
        <v>134</v>
      </c>
      <c r="E585" s="346">
        <v>100</v>
      </c>
      <c r="F585" s="346"/>
      <c r="G585" s="335">
        <f>G586</f>
        <v>749.3</v>
      </c>
      <c r="H585" s="335">
        <f t="shared" si="341"/>
        <v>75.86</v>
      </c>
      <c r="I585" s="6">
        <f t="shared" si="306"/>
        <v>10.124115841452022</v>
      </c>
    </row>
    <row r="586" spans="1:9" s="331" customFormat="1" ht="18" customHeight="1" x14ac:dyDescent="0.25">
      <c r="A586" s="342" t="s">
        <v>224</v>
      </c>
      <c r="B586" s="338" t="s">
        <v>1523</v>
      </c>
      <c r="C586" s="346" t="s">
        <v>315</v>
      </c>
      <c r="D586" s="346" t="s">
        <v>134</v>
      </c>
      <c r="E586" s="346">
        <v>110</v>
      </c>
      <c r="F586" s="346"/>
      <c r="G586" s="335">
        <f>'Пр.3 Рд,пр, ЦС,ВР 20'!F824</f>
        <v>749.3</v>
      </c>
      <c r="H586" s="335">
        <f>'Пр.3 Рд,пр, ЦС,ВР 20'!G824</f>
        <v>75.86</v>
      </c>
      <c r="I586" s="6">
        <f t="shared" si="306"/>
        <v>10.124115841452022</v>
      </c>
    </row>
    <row r="587" spans="1:9" s="331" customFormat="1" ht="47.25" x14ac:dyDescent="0.25">
      <c r="A587" s="342" t="s">
        <v>1269</v>
      </c>
      <c r="B587" s="338" t="s">
        <v>1523</v>
      </c>
      <c r="C587" s="346" t="s">
        <v>315</v>
      </c>
      <c r="D587" s="346" t="s">
        <v>134</v>
      </c>
      <c r="E587" s="346">
        <v>110</v>
      </c>
      <c r="F587" s="346" t="s">
        <v>644</v>
      </c>
      <c r="G587" s="335">
        <f>G584</f>
        <v>749.3</v>
      </c>
      <c r="H587" s="335">
        <f t="shared" ref="H587" si="342">H584</f>
        <v>75.86</v>
      </c>
      <c r="I587" s="6">
        <f t="shared" si="306"/>
        <v>10.124115841452022</v>
      </c>
    </row>
    <row r="588" spans="1:9" s="217" customFormat="1" ht="100.5" customHeight="1" x14ac:dyDescent="0.25">
      <c r="A588" s="31" t="s">
        <v>309</v>
      </c>
      <c r="B588" s="20" t="s">
        <v>1167</v>
      </c>
      <c r="C588" s="40" t="s">
        <v>315</v>
      </c>
      <c r="D588" s="40" t="s">
        <v>134</v>
      </c>
      <c r="E588" s="40"/>
      <c r="F588" s="2"/>
      <c r="G588" s="10">
        <f>G589</f>
        <v>75</v>
      </c>
      <c r="H588" s="335">
        <f t="shared" ref="H588:H589" si="343">H589</f>
        <v>74.569999999999993</v>
      </c>
      <c r="I588" s="6">
        <f t="shared" si="306"/>
        <v>99.426666666666648</v>
      </c>
    </row>
    <row r="589" spans="1:9" s="217" customFormat="1" ht="82.5" customHeight="1" x14ac:dyDescent="0.25">
      <c r="A589" s="25" t="s">
        <v>143</v>
      </c>
      <c r="B589" s="20" t="s">
        <v>1167</v>
      </c>
      <c r="C589" s="40" t="s">
        <v>315</v>
      </c>
      <c r="D589" s="40" t="s">
        <v>134</v>
      </c>
      <c r="E589" s="40" t="s">
        <v>144</v>
      </c>
      <c r="F589" s="2"/>
      <c r="G589" s="10">
        <f>G590</f>
        <v>75</v>
      </c>
      <c r="H589" s="335">
        <f t="shared" si="343"/>
        <v>74.569999999999993</v>
      </c>
      <c r="I589" s="6">
        <f t="shared" si="306"/>
        <v>99.426666666666648</v>
      </c>
    </row>
    <row r="590" spans="1:9" s="217" customFormat="1" ht="15.75" customHeight="1" x14ac:dyDescent="0.25">
      <c r="A590" s="25" t="s">
        <v>224</v>
      </c>
      <c r="B590" s="20" t="s">
        <v>1167</v>
      </c>
      <c r="C590" s="40" t="s">
        <v>315</v>
      </c>
      <c r="D590" s="40" t="s">
        <v>134</v>
      </c>
      <c r="E590" s="40" t="s">
        <v>225</v>
      </c>
      <c r="F590" s="2"/>
      <c r="G590" s="10">
        <f>'Пр.3 Рд,пр, ЦС,ВР 20'!F827</f>
        <v>75</v>
      </c>
      <c r="H590" s="335">
        <f>'Пр.3 Рд,пр, ЦС,ВР 20'!G827</f>
        <v>74.569999999999993</v>
      </c>
      <c r="I590" s="6">
        <f t="shared" si="306"/>
        <v>99.426666666666648</v>
      </c>
    </row>
    <row r="591" spans="1:9" s="217" customFormat="1" ht="53.45" customHeight="1" x14ac:dyDescent="0.25">
      <c r="A591" s="25" t="s">
        <v>1269</v>
      </c>
      <c r="B591" s="20" t="s">
        <v>1167</v>
      </c>
      <c r="C591" s="40" t="s">
        <v>315</v>
      </c>
      <c r="D591" s="40" t="s">
        <v>134</v>
      </c>
      <c r="E591" s="40" t="s">
        <v>225</v>
      </c>
      <c r="F591" s="2">
        <v>903</v>
      </c>
      <c r="G591" s="10">
        <f>G590</f>
        <v>75</v>
      </c>
      <c r="H591" s="335">
        <f t="shared" ref="H591" si="344">H590</f>
        <v>74.569999999999993</v>
      </c>
      <c r="I591" s="6">
        <f t="shared" si="306"/>
        <v>99.426666666666648</v>
      </c>
    </row>
    <row r="592" spans="1:9" s="217" customFormat="1" ht="41.25" customHeight="1" x14ac:dyDescent="0.25">
      <c r="A592" s="279" t="s">
        <v>1404</v>
      </c>
      <c r="B592" s="24" t="s">
        <v>1405</v>
      </c>
      <c r="C592" s="24"/>
      <c r="D592" s="24"/>
      <c r="E592" s="40"/>
      <c r="F592" s="2"/>
      <c r="G592" s="59">
        <f>G595</f>
        <v>1330.923</v>
      </c>
      <c r="H592" s="347">
        <f t="shared" ref="H592" si="345">H595</f>
        <v>0</v>
      </c>
      <c r="I592" s="4">
        <f t="shared" si="306"/>
        <v>0</v>
      </c>
    </row>
    <row r="593" spans="1:9" s="217" customFormat="1" ht="19.5" customHeight="1" x14ac:dyDescent="0.25">
      <c r="A593" s="68" t="s">
        <v>314</v>
      </c>
      <c r="B593" s="20" t="s">
        <v>1405</v>
      </c>
      <c r="C593" s="20" t="s">
        <v>315</v>
      </c>
      <c r="D593" s="20"/>
      <c r="E593" s="40"/>
      <c r="F593" s="2"/>
      <c r="G593" s="10">
        <f>G594</f>
        <v>1330.923</v>
      </c>
      <c r="H593" s="335">
        <f t="shared" ref="H593:H596" si="346">H594</f>
        <v>0</v>
      </c>
      <c r="I593" s="6">
        <f t="shared" si="306"/>
        <v>0</v>
      </c>
    </row>
    <row r="594" spans="1:9" s="217" customFormat="1" ht="18" customHeight="1" x14ac:dyDescent="0.25">
      <c r="A594" s="68" t="s">
        <v>316</v>
      </c>
      <c r="B594" s="20" t="s">
        <v>1405</v>
      </c>
      <c r="C594" s="20" t="s">
        <v>315</v>
      </c>
      <c r="D594" s="20" t="s">
        <v>134</v>
      </c>
      <c r="E594" s="40"/>
      <c r="F594" s="2"/>
      <c r="G594" s="10">
        <f>G595</f>
        <v>1330.923</v>
      </c>
      <c r="H594" s="335">
        <f t="shared" si="346"/>
        <v>0</v>
      </c>
      <c r="I594" s="6">
        <f t="shared" si="306"/>
        <v>0</v>
      </c>
    </row>
    <row r="595" spans="1:9" s="217" customFormat="1" ht="49.7" customHeight="1" x14ac:dyDescent="0.25">
      <c r="A595" s="280" t="s">
        <v>1406</v>
      </c>
      <c r="B595" s="20" t="s">
        <v>1407</v>
      </c>
      <c r="C595" s="20" t="s">
        <v>315</v>
      </c>
      <c r="D595" s="20" t="s">
        <v>134</v>
      </c>
      <c r="E595" s="40"/>
      <c r="F595" s="2"/>
      <c r="G595" s="10">
        <f>G596</f>
        <v>1330.923</v>
      </c>
      <c r="H595" s="335">
        <f t="shared" si="346"/>
        <v>0</v>
      </c>
      <c r="I595" s="6">
        <f t="shared" ref="I595:I658" si="347">H595/G595*100</f>
        <v>0</v>
      </c>
    </row>
    <row r="596" spans="1:9" s="217" customFormat="1" ht="35.450000000000003" customHeight="1" x14ac:dyDescent="0.25">
      <c r="A596" s="25" t="s">
        <v>147</v>
      </c>
      <c r="B596" s="20" t="s">
        <v>1407</v>
      </c>
      <c r="C596" s="20" t="s">
        <v>315</v>
      </c>
      <c r="D596" s="20" t="s">
        <v>134</v>
      </c>
      <c r="E596" s="40" t="s">
        <v>148</v>
      </c>
      <c r="F596" s="2"/>
      <c r="G596" s="10">
        <f>G597</f>
        <v>1330.923</v>
      </c>
      <c r="H596" s="335">
        <f t="shared" si="346"/>
        <v>0</v>
      </c>
      <c r="I596" s="6">
        <f t="shared" si="347"/>
        <v>0</v>
      </c>
    </row>
    <row r="597" spans="1:9" s="217" customFormat="1" ht="36" customHeight="1" x14ac:dyDescent="0.25">
      <c r="A597" s="25" t="s">
        <v>149</v>
      </c>
      <c r="B597" s="20" t="s">
        <v>1407</v>
      </c>
      <c r="C597" s="20" t="s">
        <v>315</v>
      </c>
      <c r="D597" s="20" t="s">
        <v>134</v>
      </c>
      <c r="E597" s="40" t="s">
        <v>150</v>
      </c>
      <c r="F597" s="2"/>
      <c r="G597" s="10">
        <f>'Пр.4 ведом.20'!G370</f>
        <v>1330.923</v>
      </c>
      <c r="H597" s="335">
        <f>'Пр.4 ведом.20'!H370</f>
        <v>0</v>
      </c>
      <c r="I597" s="6">
        <f t="shared" si="347"/>
        <v>0</v>
      </c>
    </row>
    <row r="598" spans="1:9" s="217" customFormat="1" ht="50.25" customHeight="1" x14ac:dyDescent="0.25">
      <c r="A598" s="25" t="s">
        <v>1269</v>
      </c>
      <c r="B598" s="20" t="s">
        <v>1407</v>
      </c>
      <c r="C598" s="20" t="s">
        <v>315</v>
      </c>
      <c r="D598" s="20" t="s">
        <v>134</v>
      </c>
      <c r="E598" s="40" t="s">
        <v>150</v>
      </c>
      <c r="F598" s="2">
        <v>903</v>
      </c>
      <c r="G598" s="10">
        <f>G592</f>
        <v>1330.923</v>
      </c>
      <c r="H598" s="335">
        <f t="shared" ref="H598" si="348">H592</f>
        <v>0</v>
      </c>
      <c r="I598" s="6">
        <f t="shared" si="347"/>
        <v>0</v>
      </c>
    </row>
    <row r="599" spans="1:9" ht="31.5" x14ac:dyDescent="0.25">
      <c r="A599" s="41" t="s">
        <v>328</v>
      </c>
      <c r="B599" s="7" t="s">
        <v>329</v>
      </c>
      <c r="C599" s="7"/>
      <c r="D599" s="7"/>
      <c r="E599" s="7"/>
      <c r="F599" s="75"/>
      <c r="G599" s="59">
        <f>G600+G613+G620+G627+G638</f>
        <v>23670.9</v>
      </c>
      <c r="H599" s="347">
        <f t="shared" ref="H599" si="349">H600+H613+H620+H627+H638</f>
        <v>10070.670000000002</v>
      </c>
      <c r="I599" s="4">
        <f t="shared" si="347"/>
        <v>42.544516685043668</v>
      </c>
    </row>
    <row r="600" spans="1:9" s="217" customFormat="1" ht="41.25" customHeight="1" x14ac:dyDescent="0.25">
      <c r="A600" s="23" t="s">
        <v>956</v>
      </c>
      <c r="B600" s="24" t="s">
        <v>960</v>
      </c>
      <c r="C600" s="7"/>
      <c r="D600" s="7"/>
      <c r="E600" s="7"/>
      <c r="F600" s="3"/>
      <c r="G600" s="59">
        <f>G601</f>
        <v>21449.200000000001</v>
      </c>
      <c r="H600" s="347">
        <f t="shared" ref="H600" si="350">H601</f>
        <v>9386.19</v>
      </c>
      <c r="I600" s="4">
        <f t="shared" si="347"/>
        <v>43.760093616545142</v>
      </c>
    </row>
    <row r="601" spans="1:9" ht="15.75" x14ac:dyDescent="0.25">
      <c r="A601" s="73" t="s">
        <v>314</v>
      </c>
      <c r="B601" s="40" t="s">
        <v>960</v>
      </c>
      <c r="C601" s="40" t="s">
        <v>315</v>
      </c>
      <c r="D601" s="40"/>
      <c r="E601" s="40"/>
      <c r="F601" s="74"/>
      <c r="G601" s="10">
        <f t="shared" ref="G601:H602" si="351">G602</f>
        <v>21449.200000000001</v>
      </c>
      <c r="H601" s="335">
        <f t="shared" si="351"/>
        <v>9386.19</v>
      </c>
      <c r="I601" s="6">
        <f t="shared" si="347"/>
        <v>43.760093616545142</v>
      </c>
    </row>
    <row r="602" spans="1:9" ht="15.75" x14ac:dyDescent="0.25">
      <c r="A602" s="73" t="s">
        <v>316</v>
      </c>
      <c r="B602" s="40" t="s">
        <v>960</v>
      </c>
      <c r="C602" s="40" t="s">
        <v>315</v>
      </c>
      <c r="D602" s="40" t="s">
        <v>134</v>
      </c>
      <c r="E602" s="40"/>
      <c r="F602" s="74"/>
      <c r="G602" s="10">
        <f>G603</f>
        <v>21449.200000000001</v>
      </c>
      <c r="H602" s="335">
        <f t="shared" si="351"/>
        <v>9386.19</v>
      </c>
      <c r="I602" s="6">
        <f t="shared" si="347"/>
        <v>43.760093616545142</v>
      </c>
    </row>
    <row r="603" spans="1:9" ht="15.75" x14ac:dyDescent="0.25">
      <c r="A603" s="25" t="s">
        <v>832</v>
      </c>
      <c r="B603" s="20" t="s">
        <v>961</v>
      </c>
      <c r="C603" s="40" t="s">
        <v>315</v>
      </c>
      <c r="D603" s="40" t="s">
        <v>134</v>
      </c>
      <c r="E603" s="40"/>
      <c r="F603" s="2"/>
      <c r="G603" s="10">
        <f>G604+G607+G610</f>
        <v>21449.200000000001</v>
      </c>
      <c r="H603" s="335">
        <f t="shared" ref="H603" si="352">H604+H607+H610</f>
        <v>9386.19</v>
      </c>
      <c r="I603" s="6">
        <f t="shared" si="347"/>
        <v>43.760093616545142</v>
      </c>
    </row>
    <row r="604" spans="1:9" ht="78.75" x14ac:dyDescent="0.25">
      <c r="A604" s="25" t="s">
        <v>143</v>
      </c>
      <c r="B604" s="20" t="s">
        <v>961</v>
      </c>
      <c r="C604" s="40" t="s">
        <v>315</v>
      </c>
      <c r="D604" s="40" t="s">
        <v>134</v>
      </c>
      <c r="E604" s="40" t="s">
        <v>144</v>
      </c>
      <c r="F604" s="2"/>
      <c r="G604" s="10">
        <f>G605</f>
        <v>17673.2</v>
      </c>
      <c r="H604" s="335">
        <f t="shared" ref="H604" si="353">H605</f>
        <v>7919.89</v>
      </c>
      <c r="I604" s="6">
        <f t="shared" si="347"/>
        <v>44.812993685354094</v>
      </c>
    </row>
    <row r="605" spans="1:9" ht="15.75" x14ac:dyDescent="0.25">
      <c r="A605" s="25" t="s">
        <v>224</v>
      </c>
      <c r="B605" s="20" t="s">
        <v>961</v>
      </c>
      <c r="C605" s="40" t="s">
        <v>315</v>
      </c>
      <c r="D605" s="40" t="s">
        <v>134</v>
      </c>
      <c r="E605" s="40" t="s">
        <v>225</v>
      </c>
      <c r="F605" s="2"/>
      <c r="G605" s="10">
        <f>'Пр.4 ведом.20'!G375</f>
        <v>17673.2</v>
      </c>
      <c r="H605" s="335">
        <f>'Пр.4 ведом.20'!H375</f>
        <v>7919.89</v>
      </c>
      <c r="I605" s="6">
        <f t="shared" si="347"/>
        <v>44.812993685354094</v>
      </c>
    </row>
    <row r="606" spans="1:9" s="217" customFormat="1" ht="47.25" x14ac:dyDescent="0.25">
      <c r="A606" s="25" t="s">
        <v>1269</v>
      </c>
      <c r="B606" s="20" t="s">
        <v>961</v>
      </c>
      <c r="C606" s="40" t="s">
        <v>315</v>
      </c>
      <c r="D606" s="40" t="s">
        <v>134</v>
      </c>
      <c r="E606" s="40" t="s">
        <v>225</v>
      </c>
      <c r="F606" s="2">
        <v>903</v>
      </c>
      <c r="G606" s="10">
        <f>G605</f>
        <v>17673.2</v>
      </c>
      <c r="H606" s="335">
        <f t="shared" ref="H606" si="354">H605</f>
        <v>7919.89</v>
      </c>
      <c r="I606" s="6">
        <f t="shared" si="347"/>
        <v>44.812993685354094</v>
      </c>
    </row>
    <row r="607" spans="1:9" ht="31.5" x14ac:dyDescent="0.25">
      <c r="A607" s="25" t="s">
        <v>147</v>
      </c>
      <c r="B607" s="20" t="s">
        <v>961</v>
      </c>
      <c r="C607" s="40" t="s">
        <v>315</v>
      </c>
      <c r="D607" s="40" t="s">
        <v>134</v>
      </c>
      <c r="E607" s="40" t="s">
        <v>148</v>
      </c>
      <c r="F607" s="2"/>
      <c r="G607" s="10">
        <f>G608</f>
        <v>3749.7</v>
      </c>
      <c r="H607" s="335">
        <f t="shared" ref="H607" si="355">H608</f>
        <v>1446.4</v>
      </c>
      <c r="I607" s="6">
        <f t="shared" si="347"/>
        <v>38.573752566872024</v>
      </c>
    </row>
    <row r="608" spans="1:9" ht="31.5" x14ac:dyDescent="0.25">
      <c r="A608" s="25" t="s">
        <v>149</v>
      </c>
      <c r="B608" s="20" t="s">
        <v>961</v>
      </c>
      <c r="C608" s="40" t="s">
        <v>315</v>
      </c>
      <c r="D608" s="40" t="s">
        <v>134</v>
      </c>
      <c r="E608" s="40" t="s">
        <v>150</v>
      </c>
      <c r="F608" s="2"/>
      <c r="G608" s="10">
        <f>'Пр.4 ведом.20'!G377</f>
        <v>3749.7</v>
      </c>
      <c r="H608" s="335">
        <f>'Пр.4 ведом.20'!H377</f>
        <v>1446.4</v>
      </c>
      <c r="I608" s="6">
        <f t="shared" si="347"/>
        <v>38.573752566872024</v>
      </c>
    </row>
    <row r="609" spans="1:9" s="217" customFormat="1" ht="47.25" x14ac:dyDescent="0.25">
      <c r="A609" s="25" t="s">
        <v>1269</v>
      </c>
      <c r="B609" s="20" t="s">
        <v>961</v>
      </c>
      <c r="C609" s="40" t="s">
        <v>315</v>
      </c>
      <c r="D609" s="40" t="s">
        <v>134</v>
      </c>
      <c r="E609" s="40" t="s">
        <v>150</v>
      </c>
      <c r="F609" s="2">
        <v>903</v>
      </c>
      <c r="G609" s="10">
        <f>G608</f>
        <v>3749.7</v>
      </c>
      <c r="H609" s="335">
        <f t="shared" ref="H609" si="356">H608</f>
        <v>1446.4</v>
      </c>
      <c r="I609" s="6">
        <f t="shared" si="347"/>
        <v>38.573752566872024</v>
      </c>
    </row>
    <row r="610" spans="1:9" ht="15.75" customHeight="1" x14ac:dyDescent="0.25">
      <c r="A610" s="25" t="s">
        <v>151</v>
      </c>
      <c r="B610" s="20" t="s">
        <v>961</v>
      </c>
      <c r="C610" s="40" t="s">
        <v>315</v>
      </c>
      <c r="D610" s="40" t="s">
        <v>134</v>
      </c>
      <c r="E610" s="40" t="s">
        <v>161</v>
      </c>
      <c r="F610" s="2"/>
      <c r="G610" s="10">
        <f>G611</f>
        <v>26.3</v>
      </c>
      <c r="H610" s="335">
        <f t="shared" ref="H610" si="357">H611</f>
        <v>19.899999999999999</v>
      </c>
      <c r="I610" s="6">
        <f t="shared" si="347"/>
        <v>75.665399239543717</v>
      </c>
    </row>
    <row r="611" spans="1:9" ht="15.75" customHeight="1" x14ac:dyDescent="0.25">
      <c r="A611" s="25" t="s">
        <v>153</v>
      </c>
      <c r="B611" s="20" t="s">
        <v>961</v>
      </c>
      <c r="C611" s="40" t="s">
        <v>315</v>
      </c>
      <c r="D611" s="40" t="s">
        <v>134</v>
      </c>
      <c r="E611" s="40" t="s">
        <v>154</v>
      </c>
      <c r="F611" s="2"/>
      <c r="G611" s="10">
        <f>'Пр.4 ведом.20'!G379</f>
        <v>26.3</v>
      </c>
      <c r="H611" s="335">
        <f>'Пр.4 ведом.20'!H379</f>
        <v>19.899999999999999</v>
      </c>
      <c r="I611" s="6">
        <f t="shared" si="347"/>
        <v>75.665399239543717</v>
      </c>
    </row>
    <row r="612" spans="1:9" s="217" customFormat="1" ht="50.25" customHeight="1" x14ac:dyDescent="0.25">
      <c r="A612" s="25" t="s">
        <v>1269</v>
      </c>
      <c r="B612" s="20" t="s">
        <v>961</v>
      </c>
      <c r="C612" s="40" t="s">
        <v>315</v>
      </c>
      <c r="D612" s="40" t="s">
        <v>134</v>
      </c>
      <c r="E612" s="40" t="s">
        <v>154</v>
      </c>
      <c r="F612" s="2">
        <v>903</v>
      </c>
      <c r="G612" s="10">
        <f>G611</f>
        <v>26.3</v>
      </c>
      <c r="H612" s="335">
        <f t="shared" ref="H612" si="358">H611</f>
        <v>19.899999999999999</v>
      </c>
      <c r="I612" s="6">
        <f t="shared" si="347"/>
        <v>75.665399239543717</v>
      </c>
    </row>
    <row r="613" spans="1:9" s="217" customFormat="1" ht="30.75" customHeight="1" x14ac:dyDescent="0.25">
      <c r="A613" s="23" t="s">
        <v>973</v>
      </c>
      <c r="B613" s="24" t="s">
        <v>962</v>
      </c>
      <c r="C613" s="7"/>
      <c r="D613" s="7"/>
      <c r="E613" s="7"/>
      <c r="F613" s="3"/>
      <c r="G613" s="59">
        <f>G616</f>
        <v>50</v>
      </c>
      <c r="H613" s="347">
        <f t="shared" ref="H613" si="359">H616</f>
        <v>37.58</v>
      </c>
      <c r="I613" s="4">
        <f t="shared" si="347"/>
        <v>75.16</v>
      </c>
    </row>
    <row r="614" spans="1:9" s="217" customFormat="1" ht="15.75" customHeight="1" x14ac:dyDescent="0.25">
      <c r="A614" s="73" t="s">
        <v>314</v>
      </c>
      <c r="B614" s="40" t="s">
        <v>962</v>
      </c>
      <c r="C614" s="40" t="s">
        <v>315</v>
      </c>
      <c r="D614" s="40"/>
      <c r="E614" s="40"/>
      <c r="F614" s="74"/>
      <c r="G614" s="10">
        <f t="shared" ref="G614:H617" si="360">G615</f>
        <v>50</v>
      </c>
      <c r="H614" s="335">
        <f t="shared" si="360"/>
        <v>37.58</v>
      </c>
      <c r="I614" s="6">
        <f t="shared" si="347"/>
        <v>75.16</v>
      </c>
    </row>
    <row r="615" spans="1:9" s="217" customFormat="1" ht="18" customHeight="1" x14ac:dyDescent="0.25">
      <c r="A615" s="73" t="s">
        <v>316</v>
      </c>
      <c r="B615" s="40" t="s">
        <v>962</v>
      </c>
      <c r="C615" s="40" t="s">
        <v>315</v>
      </c>
      <c r="D615" s="40" t="s">
        <v>134</v>
      </c>
      <c r="E615" s="40"/>
      <c r="F615" s="74"/>
      <c r="G615" s="10">
        <f>G616</f>
        <v>50</v>
      </c>
      <c r="H615" s="335">
        <f t="shared" si="360"/>
        <v>37.58</v>
      </c>
      <c r="I615" s="6">
        <f t="shared" si="347"/>
        <v>75.16</v>
      </c>
    </row>
    <row r="616" spans="1:9" s="217" customFormat="1" ht="33.75" customHeight="1" x14ac:dyDescent="0.25">
      <c r="A616" s="25" t="s">
        <v>866</v>
      </c>
      <c r="B616" s="20" t="s">
        <v>963</v>
      </c>
      <c r="C616" s="40" t="s">
        <v>315</v>
      </c>
      <c r="D616" s="40" t="s">
        <v>134</v>
      </c>
      <c r="E616" s="40"/>
      <c r="F616" s="2"/>
      <c r="G616" s="10">
        <f>G617</f>
        <v>50</v>
      </c>
      <c r="H616" s="335">
        <f t="shared" si="360"/>
        <v>37.58</v>
      </c>
      <c r="I616" s="6">
        <f t="shared" si="347"/>
        <v>75.16</v>
      </c>
    </row>
    <row r="617" spans="1:9" s="217" customFormat="1" ht="36.75" customHeight="1" x14ac:dyDescent="0.25">
      <c r="A617" s="25" t="s">
        <v>147</v>
      </c>
      <c r="B617" s="20" t="s">
        <v>963</v>
      </c>
      <c r="C617" s="40" t="s">
        <v>315</v>
      </c>
      <c r="D617" s="40" t="s">
        <v>134</v>
      </c>
      <c r="E617" s="40" t="s">
        <v>148</v>
      </c>
      <c r="F617" s="2"/>
      <c r="G617" s="10">
        <f>G618</f>
        <v>50</v>
      </c>
      <c r="H617" s="335">
        <f t="shared" si="360"/>
        <v>37.58</v>
      </c>
      <c r="I617" s="6">
        <f t="shared" si="347"/>
        <v>75.16</v>
      </c>
    </row>
    <row r="618" spans="1:9" s="217" customFormat="1" ht="33" customHeight="1" x14ac:dyDescent="0.25">
      <c r="A618" s="25" t="s">
        <v>149</v>
      </c>
      <c r="B618" s="20" t="s">
        <v>963</v>
      </c>
      <c r="C618" s="40" t="s">
        <v>315</v>
      </c>
      <c r="D618" s="40" t="s">
        <v>134</v>
      </c>
      <c r="E618" s="40" t="s">
        <v>150</v>
      </c>
      <c r="F618" s="2"/>
      <c r="G618" s="10">
        <f>'Пр.4 ведом.20'!G383</f>
        <v>50</v>
      </c>
      <c r="H618" s="335">
        <f>'Пр.4 ведом.20'!H383</f>
        <v>37.58</v>
      </c>
      <c r="I618" s="6">
        <f t="shared" si="347"/>
        <v>75.16</v>
      </c>
    </row>
    <row r="619" spans="1:9" s="217" customFormat="1" ht="48.2" customHeight="1" x14ac:dyDescent="0.25">
      <c r="A619" s="25" t="s">
        <v>1269</v>
      </c>
      <c r="B619" s="20" t="s">
        <v>963</v>
      </c>
      <c r="C619" s="40" t="s">
        <v>315</v>
      </c>
      <c r="D619" s="40" t="s">
        <v>134</v>
      </c>
      <c r="E619" s="40" t="s">
        <v>150</v>
      </c>
      <c r="F619" s="2">
        <v>903</v>
      </c>
      <c r="G619" s="10">
        <f>G618</f>
        <v>50</v>
      </c>
      <c r="H619" s="335">
        <f t="shared" ref="H619" si="361">H618</f>
        <v>37.58</v>
      </c>
      <c r="I619" s="6">
        <f t="shared" si="347"/>
        <v>75.16</v>
      </c>
    </row>
    <row r="620" spans="1:9" s="217" customFormat="1" ht="36.75" customHeight="1" x14ac:dyDescent="0.25">
      <c r="A620" s="23" t="s">
        <v>1076</v>
      </c>
      <c r="B620" s="24" t="s">
        <v>964</v>
      </c>
      <c r="C620" s="7"/>
      <c r="D620" s="7"/>
      <c r="E620" s="7"/>
      <c r="F620" s="3"/>
      <c r="G620" s="59">
        <f>G623</f>
        <v>507</v>
      </c>
      <c r="H620" s="347">
        <f t="shared" ref="H620" si="362">H623</f>
        <v>245.2</v>
      </c>
      <c r="I620" s="4">
        <f t="shared" si="347"/>
        <v>48.362919132149898</v>
      </c>
    </row>
    <row r="621" spans="1:9" s="217" customFormat="1" ht="16.5" customHeight="1" x14ac:dyDescent="0.25">
      <c r="A621" s="73" t="s">
        <v>314</v>
      </c>
      <c r="B621" s="40" t="s">
        <v>964</v>
      </c>
      <c r="C621" s="40" t="s">
        <v>315</v>
      </c>
      <c r="D621" s="40"/>
      <c r="E621" s="40"/>
      <c r="F621" s="74"/>
      <c r="G621" s="10">
        <f t="shared" ref="G621:H624" si="363">G622</f>
        <v>507</v>
      </c>
      <c r="H621" s="335">
        <f t="shared" si="363"/>
        <v>245.2</v>
      </c>
      <c r="I621" s="6">
        <f t="shared" si="347"/>
        <v>48.362919132149898</v>
      </c>
    </row>
    <row r="622" spans="1:9" s="217" customFormat="1" ht="18.75" customHeight="1" x14ac:dyDescent="0.25">
      <c r="A622" s="73" t="s">
        <v>316</v>
      </c>
      <c r="B622" s="40" t="s">
        <v>964</v>
      </c>
      <c r="C622" s="40" t="s">
        <v>315</v>
      </c>
      <c r="D622" s="40" t="s">
        <v>134</v>
      </c>
      <c r="E622" s="40"/>
      <c r="F622" s="74"/>
      <c r="G622" s="10">
        <f>G623</f>
        <v>507</v>
      </c>
      <c r="H622" s="335">
        <f t="shared" si="363"/>
        <v>245.2</v>
      </c>
      <c r="I622" s="6">
        <f t="shared" si="347"/>
        <v>48.362919132149898</v>
      </c>
    </row>
    <row r="623" spans="1:9" s="217" customFormat="1" ht="44.45" customHeight="1" x14ac:dyDescent="0.25">
      <c r="A623" s="25" t="s">
        <v>885</v>
      </c>
      <c r="B623" s="20" t="s">
        <v>1252</v>
      </c>
      <c r="C623" s="40" t="s">
        <v>315</v>
      </c>
      <c r="D623" s="40" t="s">
        <v>134</v>
      </c>
      <c r="E623" s="40"/>
      <c r="F623" s="2"/>
      <c r="G623" s="10">
        <f>G624</f>
        <v>507</v>
      </c>
      <c r="H623" s="335">
        <f t="shared" si="363"/>
        <v>245.2</v>
      </c>
      <c r="I623" s="6">
        <f t="shared" si="347"/>
        <v>48.362919132149898</v>
      </c>
    </row>
    <row r="624" spans="1:9" s="217" customFormat="1" ht="78" customHeight="1" x14ac:dyDescent="0.25">
      <c r="A624" s="25" t="s">
        <v>143</v>
      </c>
      <c r="B624" s="20" t="s">
        <v>1252</v>
      </c>
      <c r="C624" s="40" t="s">
        <v>315</v>
      </c>
      <c r="D624" s="40" t="s">
        <v>134</v>
      </c>
      <c r="E624" s="40" t="s">
        <v>144</v>
      </c>
      <c r="F624" s="2"/>
      <c r="G624" s="10">
        <f>G625</f>
        <v>507</v>
      </c>
      <c r="H624" s="335">
        <f t="shared" si="363"/>
        <v>245.2</v>
      </c>
      <c r="I624" s="6">
        <f t="shared" si="347"/>
        <v>48.362919132149898</v>
      </c>
    </row>
    <row r="625" spans="1:9" s="217" customFormat="1" ht="33" customHeight="1" x14ac:dyDescent="0.25">
      <c r="A625" s="25" t="s">
        <v>145</v>
      </c>
      <c r="B625" s="20" t="s">
        <v>1252</v>
      </c>
      <c r="C625" s="40" t="s">
        <v>315</v>
      </c>
      <c r="D625" s="40" t="s">
        <v>134</v>
      </c>
      <c r="E625" s="40" t="s">
        <v>225</v>
      </c>
      <c r="F625" s="2"/>
      <c r="G625" s="10">
        <f>'Пр.4 ведом.20'!G387</f>
        <v>507</v>
      </c>
      <c r="H625" s="335">
        <f>'Пр.4 ведом.20'!H387</f>
        <v>245.2</v>
      </c>
      <c r="I625" s="6">
        <f t="shared" si="347"/>
        <v>48.362919132149898</v>
      </c>
    </row>
    <row r="626" spans="1:9" s="217" customFormat="1" ht="44.45" customHeight="1" x14ac:dyDescent="0.25">
      <c r="A626" s="25" t="s">
        <v>1269</v>
      </c>
      <c r="B626" s="20" t="s">
        <v>1252</v>
      </c>
      <c r="C626" s="40" t="s">
        <v>315</v>
      </c>
      <c r="D626" s="40" t="s">
        <v>134</v>
      </c>
      <c r="E626" s="40" t="s">
        <v>225</v>
      </c>
      <c r="F626" s="2">
        <v>903</v>
      </c>
      <c r="G626" s="10">
        <f>G625</f>
        <v>507</v>
      </c>
      <c r="H626" s="335">
        <f t="shared" ref="H626" si="364">H625</f>
        <v>245.2</v>
      </c>
      <c r="I626" s="6">
        <f t="shared" si="347"/>
        <v>48.362919132149898</v>
      </c>
    </row>
    <row r="627" spans="1:9" s="217" customFormat="1" ht="32.25" customHeight="1" x14ac:dyDescent="0.25">
      <c r="A627" s="23" t="s">
        <v>1163</v>
      </c>
      <c r="B627" s="24" t="s">
        <v>965</v>
      </c>
      <c r="C627" s="7"/>
      <c r="D627" s="7"/>
      <c r="E627" s="7"/>
      <c r="F627" s="3"/>
      <c r="G627" s="59">
        <f>G630+G634</f>
        <v>68.7</v>
      </c>
      <c r="H627" s="347">
        <f t="shared" ref="H627" si="365">H630+H634</f>
        <v>0</v>
      </c>
      <c r="I627" s="4">
        <f t="shared" si="347"/>
        <v>0</v>
      </c>
    </row>
    <row r="628" spans="1:9" s="217" customFormat="1" ht="17.45" customHeight="1" x14ac:dyDescent="0.25">
      <c r="A628" s="68" t="s">
        <v>314</v>
      </c>
      <c r="B628" s="40" t="s">
        <v>965</v>
      </c>
      <c r="C628" s="40" t="s">
        <v>315</v>
      </c>
      <c r="D628" s="40"/>
      <c r="E628" s="40"/>
      <c r="F628" s="74"/>
      <c r="G628" s="10">
        <f t="shared" ref="G628:H628" si="366">G629</f>
        <v>68.7</v>
      </c>
      <c r="H628" s="335">
        <f t="shared" si="366"/>
        <v>0</v>
      </c>
      <c r="I628" s="6">
        <f t="shared" si="347"/>
        <v>0</v>
      </c>
    </row>
    <row r="629" spans="1:9" s="217" customFormat="1" ht="21.2" customHeight="1" x14ac:dyDescent="0.25">
      <c r="A629" s="68" t="s">
        <v>316</v>
      </c>
      <c r="B629" s="40" t="s">
        <v>965</v>
      </c>
      <c r="C629" s="40" t="s">
        <v>315</v>
      </c>
      <c r="D629" s="40" t="s">
        <v>134</v>
      </c>
      <c r="E629" s="40"/>
      <c r="F629" s="74"/>
      <c r="G629" s="10">
        <f>G630+G634</f>
        <v>68.7</v>
      </c>
      <c r="H629" s="335">
        <f t="shared" ref="H629" si="367">H630+H634</f>
        <v>0</v>
      </c>
      <c r="I629" s="6">
        <f t="shared" si="347"/>
        <v>0</v>
      </c>
    </row>
    <row r="630" spans="1:9" s="217" customFormat="1" ht="15.75" customHeight="1" x14ac:dyDescent="0.25">
      <c r="A630" s="25" t="s">
        <v>345</v>
      </c>
      <c r="B630" s="20" t="s">
        <v>1253</v>
      </c>
      <c r="C630" s="40" t="s">
        <v>315</v>
      </c>
      <c r="D630" s="40" t="s">
        <v>134</v>
      </c>
      <c r="E630" s="40"/>
      <c r="F630" s="2"/>
      <c r="G630" s="10">
        <f>G631</f>
        <v>3.5</v>
      </c>
      <c r="H630" s="335">
        <f t="shared" ref="H630:H631" si="368">H631</f>
        <v>0</v>
      </c>
      <c r="I630" s="6">
        <f t="shared" si="347"/>
        <v>0</v>
      </c>
    </row>
    <row r="631" spans="1:9" s="217" customFormat="1" ht="34.5" customHeight="1" x14ac:dyDescent="0.25">
      <c r="A631" s="25" t="s">
        <v>147</v>
      </c>
      <c r="B631" s="20" t="s">
        <v>1253</v>
      </c>
      <c r="C631" s="40" t="s">
        <v>315</v>
      </c>
      <c r="D631" s="40" t="s">
        <v>134</v>
      </c>
      <c r="E631" s="40" t="s">
        <v>148</v>
      </c>
      <c r="F631" s="2"/>
      <c r="G631" s="10">
        <f>G632</f>
        <v>3.5</v>
      </c>
      <c r="H631" s="335">
        <f t="shared" si="368"/>
        <v>0</v>
      </c>
      <c r="I631" s="6">
        <f t="shared" si="347"/>
        <v>0</v>
      </c>
    </row>
    <row r="632" spans="1:9" s="217" customFormat="1" ht="32.25" customHeight="1" x14ac:dyDescent="0.25">
      <c r="A632" s="25" t="s">
        <v>149</v>
      </c>
      <c r="B632" s="20" t="s">
        <v>1253</v>
      </c>
      <c r="C632" s="40" t="s">
        <v>315</v>
      </c>
      <c r="D632" s="40" t="s">
        <v>134</v>
      </c>
      <c r="E632" s="40" t="s">
        <v>150</v>
      </c>
      <c r="F632" s="2"/>
      <c r="G632" s="10">
        <f>'Пр.4 ведом.20'!G391</f>
        <v>3.5</v>
      </c>
      <c r="H632" s="335">
        <f>'Пр.4 ведом.20'!H391</f>
        <v>0</v>
      </c>
      <c r="I632" s="6">
        <f t="shared" si="347"/>
        <v>0</v>
      </c>
    </row>
    <row r="633" spans="1:9" s="217" customFormat="1" ht="50.25" customHeight="1" x14ac:dyDescent="0.25">
      <c r="A633" s="25" t="s">
        <v>1269</v>
      </c>
      <c r="B633" s="20" t="s">
        <v>1253</v>
      </c>
      <c r="C633" s="40" t="s">
        <v>315</v>
      </c>
      <c r="D633" s="40" t="s">
        <v>134</v>
      </c>
      <c r="E633" s="40" t="s">
        <v>150</v>
      </c>
      <c r="F633" s="2">
        <v>903</v>
      </c>
      <c r="G633" s="10">
        <f>G632</f>
        <v>3.5</v>
      </c>
      <c r="H633" s="335">
        <f t="shared" ref="H633" si="369">H632</f>
        <v>0</v>
      </c>
      <c r="I633" s="6">
        <f t="shared" si="347"/>
        <v>0</v>
      </c>
    </row>
    <row r="634" spans="1:9" s="217" customFormat="1" ht="15.75" customHeight="1" x14ac:dyDescent="0.25">
      <c r="A634" s="25" t="s">
        <v>345</v>
      </c>
      <c r="B634" s="20" t="s">
        <v>1254</v>
      </c>
      <c r="C634" s="40" t="s">
        <v>315</v>
      </c>
      <c r="D634" s="40" t="s">
        <v>134</v>
      </c>
      <c r="E634" s="40"/>
      <c r="F634" s="2"/>
      <c r="G634" s="10">
        <f>G635</f>
        <v>65.2</v>
      </c>
      <c r="H634" s="335">
        <f t="shared" ref="H634:H635" si="370">H635</f>
        <v>0</v>
      </c>
      <c r="I634" s="6">
        <f t="shared" si="347"/>
        <v>0</v>
      </c>
    </row>
    <row r="635" spans="1:9" s="217" customFormat="1" ht="36.75" customHeight="1" x14ac:dyDescent="0.25">
      <c r="A635" s="25" t="s">
        <v>147</v>
      </c>
      <c r="B635" s="20" t="s">
        <v>1254</v>
      </c>
      <c r="C635" s="40" t="s">
        <v>315</v>
      </c>
      <c r="D635" s="40" t="s">
        <v>134</v>
      </c>
      <c r="E635" s="40" t="s">
        <v>148</v>
      </c>
      <c r="F635" s="2"/>
      <c r="G635" s="10">
        <f>G636</f>
        <v>65.2</v>
      </c>
      <c r="H635" s="335">
        <f t="shared" si="370"/>
        <v>0</v>
      </c>
      <c r="I635" s="6">
        <f t="shared" si="347"/>
        <v>0</v>
      </c>
    </row>
    <row r="636" spans="1:9" s="217" customFormat="1" ht="37.5" customHeight="1" x14ac:dyDescent="0.25">
      <c r="A636" s="25" t="s">
        <v>149</v>
      </c>
      <c r="B636" s="20" t="s">
        <v>1254</v>
      </c>
      <c r="C636" s="40" t="s">
        <v>315</v>
      </c>
      <c r="D636" s="40" t="s">
        <v>134</v>
      </c>
      <c r="E636" s="40" t="s">
        <v>150</v>
      </c>
      <c r="F636" s="2"/>
      <c r="G636" s="10">
        <f>'Пр.4 ведом.20'!G394</f>
        <v>65.2</v>
      </c>
      <c r="H636" s="335">
        <f>'Пр.4 ведом.20'!H394</f>
        <v>0</v>
      </c>
      <c r="I636" s="6">
        <f t="shared" si="347"/>
        <v>0</v>
      </c>
    </row>
    <row r="637" spans="1:9" s="217" customFormat="1" ht="51.75" customHeight="1" x14ac:dyDescent="0.25">
      <c r="A637" s="25" t="s">
        <v>1269</v>
      </c>
      <c r="B637" s="20" t="s">
        <v>1254</v>
      </c>
      <c r="C637" s="40" t="s">
        <v>315</v>
      </c>
      <c r="D637" s="40" t="s">
        <v>134</v>
      </c>
      <c r="E637" s="40" t="s">
        <v>150</v>
      </c>
      <c r="F637" s="2">
        <v>903</v>
      </c>
      <c r="G637" s="10">
        <f>G636</f>
        <v>65.2</v>
      </c>
      <c r="H637" s="335">
        <f t="shared" ref="H637" si="371">H636</f>
        <v>0</v>
      </c>
      <c r="I637" s="6">
        <f t="shared" si="347"/>
        <v>0</v>
      </c>
    </row>
    <row r="638" spans="1:9" s="217" customFormat="1" ht="49.7" customHeight="1" x14ac:dyDescent="0.25">
      <c r="A638" s="230" t="s">
        <v>971</v>
      </c>
      <c r="B638" s="24" t="s">
        <v>1255</v>
      </c>
      <c r="C638" s="7"/>
      <c r="D638" s="7"/>
      <c r="E638" s="7"/>
      <c r="F638" s="3"/>
      <c r="G638" s="59">
        <f>G639</f>
        <v>1596</v>
      </c>
      <c r="H638" s="347">
        <f t="shared" ref="H638" si="372">H639</f>
        <v>401.7</v>
      </c>
      <c r="I638" s="4">
        <f t="shared" si="347"/>
        <v>25.169172932330824</v>
      </c>
    </row>
    <row r="639" spans="1:9" s="217" customFormat="1" ht="18" customHeight="1" x14ac:dyDescent="0.25">
      <c r="A639" s="68" t="s">
        <v>314</v>
      </c>
      <c r="B639" s="40" t="s">
        <v>1255</v>
      </c>
      <c r="C639" s="40" t="s">
        <v>315</v>
      </c>
      <c r="D639" s="40"/>
      <c r="E639" s="40"/>
      <c r="F639" s="74"/>
      <c r="G639" s="10">
        <f t="shared" ref="G639:H639" si="373">G640</f>
        <v>1596</v>
      </c>
      <c r="H639" s="335">
        <f t="shared" si="373"/>
        <v>401.7</v>
      </c>
      <c r="I639" s="6">
        <f t="shared" si="347"/>
        <v>25.169172932330824</v>
      </c>
    </row>
    <row r="640" spans="1:9" s="217" customFormat="1" ht="18.75" customHeight="1" x14ac:dyDescent="0.25">
      <c r="A640" s="68" t="s">
        <v>316</v>
      </c>
      <c r="B640" s="40" t="s">
        <v>1255</v>
      </c>
      <c r="C640" s="40" t="s">
        <v>315</v>
      </c>
      <c r="D640" s="40" t="s">
        <v>134</v>
      </c>
      <c r="E640" s="40"/>
      <c r="F640" s="74"/>
      <c r="G640" s="10">
        <f>G645+G649+G641</f>
        <v>1596</v>
      </c>
      <c r="H640" s="335">
        <f t="shared" ref="H640" si="374">H645+H649+H641</f>
        <v>401.7</v>
      </c>
      <c r="I640" s="6">
        <f t="shared" si="347"/>
        <v>25.169172932330824</v>
      </c>
    </row>
    <row r="641" spans="1:9" s="331" customFormat="1" ht="101.25" customHeight="1" x14ac:dyDescent="0.25">
      <c r="A641" s="31" t="s">
        <v>309</v>
      </c>
      <c r="B641" s="338" t="s">
        <v>1524</v>
      </c>
      <c r="C641" s="346" t="s">
        <v>315</v>
      </c>
      <c r="D641" s="346" t="s">
        <v>134</v>
      </c>
      <c r="E641" s="346"/>
      <c r="F641" s="2"/>
      <c r="G641" s="335">
        <f>G642</f>
        <v>1159.3</v>
      </c>
      <c r="H641" s="335">
        <f t="shared" ref="H641:H642" si="375">H642</f>
        <v>176</v>
      </c>
      <c r="I641" s="6">
        <f t="shared" si="347"/>
        <v>15.181575088415425</v>
      </c>
    </row>
    <row r="642" spans="1:9" s="331" customFormat="1" ht="85.7" customHeight="1" x14ac:dyDescent="0.25">
      <c r="A642" s="342" t="s">
        <v>143</v>
      </c>
      <c r="B642" s="338" t="s">
        <v>1524</v>
      </c>
      <c r="C642" s="346" t="s">
        <v>315</v>
      </c>
      <c r="D642" s="346" t="s">
        <v>134</v>
      </c>
      <c r="E642" s="346" t="s">
        <v>144</v>
      </c>
      <c r="F642" s="2"/>
      <c r="G642" s="335">
        <f>G643</f>
        <v>1159.3</v>
      </c>
      <c r="H642" s="335">
        <f t="shared" si="375"/>
        <v>176</v>
      </c>
      <c r="I642" s="6">
        <f t="shared" si="347"/>
        <v>15.181575088415425</v>
      </c>
    </row>
    <row r="643" spans="1:9" s="331" customFormat="1" ht="18.75" customHeight="1" x14ac:dyDescent="0.25">
      <c r="A643" s="342" t="s">
        <v>224</v>
      </c>
      <c r="B643" s="338" t="s">
        <v>1524</v>
      </c>
      <c r="C643" s="346" t="s">
        <v>315</v>
      </c>
      <c r="D643" s="346" t="s">
        <v>134</v>
      </c>
      <c r="E643" s="346" t="s">
        <v>225</v>
      </c>
      <c r="F643" s="2"/>
      <c r="G643" s="335">
        <f>'Пр.4 ведом.20'!G398</f>
        <v>1159.3</v>
      </c>
      <c r="H643" s="335">
        <f>'Пр.4 ведом.20'!H398</f>
        <v>176</v>
      </c>
      <c r="I643" s="6">
        <f t="shared" si="347"/>
        <v>15.181575088415425</v>
      </c>
    </row>
    <row r="644" spans="1:9" s="331" customFormat="1" ht="49.7" customHeight="1" x14ac:dyDescent="0.25">
      <c r="A644" s="342" t="s">
        <v>1269</v>
      </c>
      <c r="B644" s="338" t="s">
        <v>1524</v>
      </c>
      <c r="C644" s="346" t="s">
        <v>315</v>
      </c>
      <c r="D644" s="346" t="s">
        <v>134</v>
      </c>
      <c r="E644" s="346" t="s">
        <v>225</v>
      </c>
      <c r="F644" s="2">
        <v>903</v>
      </c>
      <c r="G644" s="335">
        <f>G641</f>
        <v>1159.3</v>
      </c>
      <c r="H644" s="335">
        <f t="shared" ref="H644" si="376">H641</f>
        <v>176</v>
      </c>
      <c r="I644" s="6">
        <f t="shared" si="347"/>
        <v>15.181575088415425</v>
      </c>
    </row>
    <row r="645" spans="1:9" s="217" customFormat="1" ht="66.2" customHeight="1" x14ac:dyDescent="0.25">
      <c r="A645" s="25" t="s">
        <v>347</v>
      </c>
      <c r="B645" s="20" t="s">
        <v>1256</v>
      </c>
      <c r="C645" s="40" t="s">
        <v>315</v>
      </c>
      <c r="D645" s="40" t="s">
        <v>134</v>
      </c>
      <c r="E645" s="40"/>
      <c r="F645" s="2"/>
      <c r="G645" s="10">
        <f>G646</f>
        <v>319.7</v>
      </c>
      <c r="H645" s="335">
        <f t="shared" ref="H645:H646" si="377">H646</f>
        <v>108.7</v>
      </c>
      <c r="I645" s="6">
        <f t="shared" si="347"/>
        <v>34.000625586487331</v>
      </c>
    </row>
    <row r="646" spans="1:9" s="217" customFormat="1" ht="77.25" customHeight="1" x14ac:dyDescent="0.25">
      <c r="A646" s="25" t="s">
        <v>143</v>
      </c>
      <c r="B646" s="20" t="s">
        <v>1256</v>
      </c>
      <c r="C646" s="40" t="s">
        <v>315</v>
      </c>
      <c r="D646" s="40" t="s">
        <v>134</v>
      </c>
      <c r="E646" s="40" t="s">
        <v>144</v>
      </c>
      <c r="F646" s="2"/>
      <c r="G646" s="10">
        <f>G647</f>
        <v>319.7</v>
      </c>
      <c r="H646" s="335">
        <f t="shared" si="377"/>
        <v>108.7</v>
      </c>
      <c r="I646" s="6">
        <f t="shared" si="347"/>
        <v>34.000625586487331</v>
      </c>
    </row>
    <row r="647" spans="1:9" s="217" customFormat="1" ht="20.25" customHeight="1" x14ac:dyDescent="0.25">
      <c r="A647" s="25" t="s">
        <v>224</v>
      </c>
      <c r="B647" s="20" t="s">
        <v>1256</v>
      </c>
      <c r="C647" s="40" t="s">
        <v>315</v>
      </c>
      <c r="D647" s="40" t="s">
        <v>134</v>
      </c>
      <c r="E647" s="40" t="s">
        <v>225</v>
      </c>
      <c r="F647" s="2"/>
      <c r="G647" s="10">
        <f>'Пр.4 ведом.20'!G401</f>
        <v>319.7</v>
      </c>
      <c r="H647" s="335">
        <f>'Пр.4 ведом.20'!H401</f>
        <v>108.7</v>
      </c>
      <c r="I647" s="6">
        <f t="shared" si="347"/>
        <v>34.000625586487331</v>
      </c>
    </row>
    <row r="648" spans="1:9" s="217" customFormat="1" ht="51.75" customHeight="1" x14ac:dyDescent="0.25">
      <c r="A648" s="25" t="s">
        <v>1269</v>
      </c>
      <c r="B648" s="20" t="s">
        <v>1256</v>
      </c>
      <c r="C648" s="40" t="s">
        <v>315</v>
      </c>
      <c r="D648" s="40" t="s">
        <v>134</v>
      </c>
      <c r="E648" s="40" t="s">
        <v>225</v>
      </c>
      <c r="F648" s="2">
        <v>903</v>
      </c>
      <c r="G648" s="10">
        <f>G647</f>
        <v>319.7</v>
      </c>
      <c r="H648" s="335">
        <f t="shared" ref="H648" si="378">H647</f>
        <v>108.7</v>
      </c>
      <c r="I648" s="6">
        <f t="shared" si="347"/>
        <v>34.000625586487331</v>
      </c>
    </row>
    <row r="649" spans="1:9" s="217" customFormat="1" ht="95.25" customHeight="1" x14ac:dyDescent="0.25">
      <c r="A649" s="31" t="s">
        <v>309</v>
      </c>
      <c r="B649" s="20" t="s">
        <v>1257</v>
      </c>
      <c r="C649" s="40" t="s">
        <v>315</v>
      </c>
      <c r="D649" s="40" t="s">
        <v>134</v>
      </c>
      <c r="E649" s="40"/>
      <c r="F649" s="2"/>
      <c r="G649" s="10">
        <f>G650</f>
        <v>117</v>
      </c>
      <c r="H649" s="335">
        <f t="shared" ref="H649:H650" si="379">H650</f>
        <v>117</v>
      </c>
      <c r="I649" s="6">
        <f t="shared" si="347"/>
        <v>100</v>
      </c>
    </row>
    <row r="650" spans="1:9" s="217" customFormat="1" ht="30.75" customHeight="1" x14ac:dyDescent="0.25">
      <c r="A650" s="25" t="s">
        <v>143</v>
      </c>
      <c r="B650" s="20" t="s">
        <v>1257</v>
      </c>
      <c r="C650" s="40" t="s">
        <v>315</v>
      </c>
      <c r="D650" s="40" t="s">
        <v>134</v>
      </c>
      <c r="E650" s="40" t="s">
        <v>144</v>
      </c>
      <c r="F650" s="2"/>
      <c r="G650" s="10">
        <f>G651</f>
        <v>117</v>
      </c>
      <c r="H650" s="335">
        <f t="shared" si="379"/>
        <v>117</v>
      </c>
      <c r="I650" s="6">
        <f t="shared" si="347"/>
        <v>100</v>
      </c>
    </row>
    <row r="651" spans="1:9" s="217" customFormat="1" ht="22.7" customHeight="1" x14ac:dyDescent="0.25">
      <c r="A651" s="25" t="s">
        <v>224</v>
      </c>
      <c r="B651" s="20" t="s">
        <v>1257</v>
      </c>
      <c r="C651" s="40" t="s">
        <v>315</v>
      </c>
      <c r="D651" s="40" t="s">
        <v>134</v>
      </c>
      <c r="E651" s="40" t="s">
        <v>225</v>
      </c>
      <c r="F651" s="2"/>
      <c r="G651" s="10">
        <f>'Пр.4 ведом.20'!G404</f>
        <v>117</v>
      </c>
      <c r="H651" s="335">
        <f>'Пр.4 ведом.20'!H404</f>
        <v>117</v>
      </c>
      <c r="I651" s="6">
        <f t="shared" si="347"/>
        <v>100</v>
      </c>
    </row>
    <row r="652" spans="1:9" s="217" customFormat="1" ht="48.75" customHeight="1" x14ac:dyDescent="0.25">
      <c r="A652" s="25" t="s">
        <v>1269</v>
      </c>
      <c r="B652" s="20" t="s">
        <v>1257</v>
      </c>
      <c r="C652" s="40" t="s">
        <v>315</v>
      </c>
      <c r="D652" s="40" t="s">
        <v>134</v>
      </c>
      <c r="E652" s="40" t="s">
        <v>225</v>
      </c>
      <c r="F652" s="2">
        <v>903</v>
      </c>
      <c r="G652" s="10">
        <f>G651</f>
        <v>117</v>
      </c>
      <c r="H652" s="335">
        <f t="shared" ref="H652" si="380">H651</f>
        <v>117</v>
      </c>
      <c r="I652" s="6">
        <f t="shared" si="347"/>
        <v>100</v>
      </c>
    </row>
    <row r="653" spans="1:9" s="217" customFormat="1" ht="69" customHeight="1" x14ac:dyDescent="0.25">
      <c r="A653" s="23" t="s">
        <v>284</v>
      </c>
      <c r="B653" s="24" t="s">
        <v>285</v>
      </c>
      <c r="C653" s="7"/>
      <c r="D653" s="7"/>
      <c r="E653" s="7"/>
      <c r="F653" s="3"/>
      <c r="G653" s="59">
        <f>G654+G667+G674+G684+G691</f>
        <v>17073.7</v>
      </c>
      <c r="H653" s="347">
        <f t="shared" ref="H653" si="381">H654+H667+H674+H684+H691</f>
        <v>8920.2999999999993</v>
      </c>
      <c r="I653" s="4">
        <f t="shared" si="347"/>
        <v>52.245851807165401</v>
      </c>
    </row>
    <row r="654" spans="1:9" s="217" customFormat="1" ht="37.5" customHeight="1" x14ac:dyDescent="0.25">
      <c r="A654" s="23" t="s">
        <v>941</v>
      </c>
      <c r="B654" s="24" t="s">
        <v>942</v>
      </c>
      <c r="C654" s="7"/>
      <c r="D654" s="7"/>
      <c r="E654" s="7"/>
      <c r="F654" s="3"/>
      <c r="G654" s="59">
        <f>G655</f>
        <v>15441</v>
      </c>
      <c r="H654" s="347">
        <f t="shared" ref="H654:H656" si="382">H655</f>
        <v>8233.2999999999993</v>
      </c>
      <c r="I654" s="4">
        <f t="shared" si="347"/>
        <v>53.321028430801107</v>
      </c>
    </row>
    <row r="655" spans="1:9" s="217" customFormat="1" ht="15.75" customHeight="1" x14ac:dyDescent="0.25">
      <c r="A655" s="25" t="s">
        <v>279</v>
      </c>
      <c r="B655" s="20" t="s">
        <v>942</v>
      </c>
      <c r="C655" s="40" t="s">
        <v>280</v>
      </c>
      <c r="D655" s="40"/>
      <c r="E655" s="40"/>
      <c r="F655" s="2"/>
      <c r="G655" s="10">
        <f>G656</f>
        <v>15441</v>
      </c>
      <c r="H655" s="335">
        <f t="shared" si="382"/>
        <v>8233.2999999999993</v>
      </c>
      <c r="I655" s="6">
        <f t="shared" si="347"/>
        <v>53.321028430801107</v>
      </c>
    </row>
    <row r="656" spans="1:9" s="217" customFormat="1" ht="20.25" customHeight="1" x14ac:dyDescent="0.25">
      <c r="A656" s="25" t="s">
        <v>281</v>
      </c>
      <c r="B656" s="20" t="s">
        <v>942</v>
      </c>
      <c r="C656" s="40" t="s">
        <v>280</v>
      </c>
      <c r="D656" s="40" t="s">
        <v>231</v>
      </c>
      <c r="E656" s="40"/>
      <c r="F656" s="2"/>
      <c r="G656" s="10">
        <f>G657</f>
        <v>15441</v>
      </c>
      <c r="H656" s="335">
        <f t="shared" si="382"/>
        <v>8233.2999999999993</v>
      </c>
      <c r="I656" s="6">
        <f t="shared" si="347"/>
        <v>53.321028430801107</v>
      </c>
    </row>
    <row r="657" spans="1:9" s="217" customFormat="1" ht="18.75" customHeight="1" x14ac:dyDescent="0.25">
      <c r="A657" s="25" t="s">
        <v>832</v>
      </c>
      <c r="B657" s="20" t="s">
        <v>940</v>
      </c>
      <c r="C657" s="40" t="s">
        <v>280</v>
      </c>
      <c r="D657" s="40" t="s">
        <v>231</v>
      </c>
      <c r="E657" s="40"/>
      <c r="F657" s="2"/>
      <c r="G657" s="10">
        <f>G658+G661+G664</f>
        <v>15441</v>
      </c>
      <c r="H657" s="335">
        <f t="shared" ref="H657" si="383">H658+H661+H664</f>
        <v>8233.2999999999993</v>
      </c>
      <c r="I657" s="6">
        <f t="shared" si="347"/>
        <v>53.321028430801107</v>
      </c>
    </row>
    <row r="658" spans="1:9" s="217" customFormat="1" ht="86.25" customHeight="1" x14ac:dyDescent="0.25">
      <c r="A658" s="25" t="s">
        <v>143</v>
      </c>
      <c r="B658" s="20" t="s">
        <v>940</v>
      </c>
      <c r="C658" s="40" t="s">
        <v>280</v>
      </c>
      <c r="D658" s="40" t="s">
        <v>231</v>
      </c>
      <c r="E658" s="20" t="s">
        <v>144</v>
      </c>
      <c r="F658" s="2"/>
      <c r="G658" s="10">
        <f>G659</f>
        <v>13412.5</v>
      </c>
      <c r="H658" s="335">
        <f t="shared" ref="H658" si="384">H659</f>
        <v>7393.5</v>
      </c>
      <c r="I658" s="6">
        <f t="shared" si="347"/>
        <v>55.123951537744645</v>
      </c>
    </row>
    <row r="659" spans="1:9" s="217" customFormat="1" ht="15.75" customHeight="1" x14ac:dyDescent="0.25">
      <c r="A659" s="46" t="s">
        <v>358</v>
      </c>
      <c r="B659" s="20" t="s">
        <v>940</v>
      </c>
      <c r="C659" s="40" t="s">
        <v>280</v>
      </c>
      <c r="D659" s="40" t="s">
        <v>231</v>
      </c>
      <c r="E659" s="20" t="s">
        <v>225</v>
      </c>
      <c r="F659" s="2"/>
      <c r="G659" s="10">
        <f>'Пр.4 ведом.20'!G281</f>
        <v>13412.5</v>
      </c>
      <c r="H659" s="335">
        <f>'Пр.4 ведом.20'!H281</f>
        <v>7393.5</v>
      </c>
      <c r="I659" s="6">
        <f t="shared" ref="I659:I722" si="385">H659/G659*100</f>
        <v>55.123951537744645</v>
      </c>
    </row>
    <row r="660" spans="1:9" s="217" customFormat="1" ht="48.2" customHeight="1" x14ac:dyDescent="0.25">
      <c r="A660" s="25" t="s">
        <v>1269</v>
      </c>
      <c r="B660" s="20" t="s">
        <v>940</v>
      </c>
      <c r="C660" s="40" t="s">
        <v>280</v>
      </c>
      <c r="D660" s="40" t="s">
        <v>231</v>
      </c>
      <c r="E660" s="20" t="s">
        <v>225</v>
      </c>
      <c r="F660" s="2">
        <v>903</v>
      </c>
      <c r="G660" s="10">
        <f>G659</f>
        <v>13412.5</v>
      </c>
      <c r="H660" s="335">
        <f t="shared" ref="H660" si="386">H659</f>
        <v>7393.5</v>
      </c>
      <c r="I660" s="6">
        <f t="shared" si="385"/>
        <v>55.123951537744645</v>
      </c>
    </row>
    <row r="661" spans="1:9" s="217" customFormat="1" ht="36" customHeight="1" x14ac:dyDescent="0.25">
      <c r="A661" s="25" t="s">
        <v>147</v>
      </c>
      <c r="B661" s="20" t="s">
        <v>940</v>
      </c>
      <c r="C661" s="40" t="s">
        <v>280</v>
      </c>
      <c r="D661" s="40" t="s">
        <v>231</v>
      </c>
      <c r="E661" s="20" t="s">
        <v>148</v>
      </c>
      <c r="F661" s="2"/>
      <c r="G661" s="10">
        <f>G662</f>
        <v>1950.5</v>
      </c>
      <c r="H661" s="335">
        <f t="shared" ref="H661" si="387">H662</f>
        <v>803.5</v>
      </c>
      <c r="I661" s="6">
        <f t="shared" si="385"/>
        <v>41.194565496026655</v>
      </c>
    </row>
    <row r="662" spans="1:9" s="217" customFormat="1" ht="29.25" customHeight="1" x14ac:dyDescent="0.25">
      <c r="A662" s="25" t="s">
        <v>149</v>
      </c>
      <c r="B662" s="20" t="s">
        <v>940</v>
      </c>
      <c r="C662" s="40" t="s">
        <v>280</v>
      </c>
      <c r="D662" s="40" t="s">
        <v>231</v>
      </c>
      <c r="E662" s="20" t="s">
        <v>150</v>
      </c>
      <c r="F662" s="2"/>
      <c r="G662" s="10">
        <f>'Пр.4 ведом.20'!G283</f>
        <v>1950.5</v>
      </c>
      <c r="H662" s="335">
        <f>'Пр.4 ведом.20'!H283</f>
        <v>803.5</v>
      </c>
      <c r="I662" s="6">
        <f t="shared" si="385"/>
        <v>41.194565496026655</v>
      </c>
    </row>
    <row r="663" spans="1:9" s="217" customFormat="1" ht="48.2" customHeight="1" x14ac:dyDescent="0.25">
      <c r="A663" s="25" t="s">
        <v>1269</v>
      </c>
      <c r="B663" s="20" t="s">
        <v>940</v>
      </c>
      <c r="C663" s="40" t="s">
        <v>280</v>
      </c>
      <c r="D663" s="40" t="s">
        <v>231</v>
      </c>
      <c r="E663" s="20" t="s">
        <v>150</v>
      </c>
      <c r="F663" s="2">
        <v>903</v>
      </c>
      <c r="G663" s="10">
        <f>G662</f>
        <v>1950.5</v>
      </c>
      <c r="H663" s="335">
        <f t="shared" ref="H663" si="388">H662</f>
        <v>803.5</v>
      </c>
      <c r="I663" s="6">
        <f t="shared" si="385"/>
        <v>41.194565496026655</v>
      </c>
    </row>
    <row r="664" spans="1:9" s="217" customFormat="1" ht="15.75" customHeight="1" x14ac:dyDescent="0.25">
      <c r="A664" s="25" t="s">
        <v>151</v>
      </c>
      <c r="B664" s="20" t="s">
        <v>940</v>
      </c>
      <c r="C664" s="40" t="s">
        <v>280</v>
      </c>
      <c r="D664" s="40" t="s">
        <v>231</v>
      </c>
      <c r="E664" s="20" t="s">
        <v>161</v>
      </c>
      <c r="F664" s="2"/>
      <c r="G664" s="10">
        <f>G665</f>
        <v>78</v>
      </c>
      <c r="H664" s="335">
        <f t="shared" ref="H664" si="389">H665</f>
        <v>36.299999999999997</v>
      </c>
      <c r="I664" s="6">
        <f t="shared" si="385"/>
        <v>46.538461538461533</v>
      </c>
    </row>
    <row r="665" spans="1:9" s="217" customFormat="1" ht="15.75" customHeight="1" x14ac:dyDescent="0.25">
      <c r="A665" s="25" t="s">
        <v>727</v>
      </c>
      <c r="B665" s="20" t="s">
        <v>940</v>
      </c>
      <c r="C665" s="40" t="s">
        <v>280</v>
      </c>
      <c r="D665" s="40" t="s">
        <v>231</v>
      </c>
      <c r="E665" s="20" t="s">
        <v>154</v>
      </c>
      <c r="F665" s="2"/>
      <c r="G665" s="10">
        <f>'Пр.4 ведом.20'!G285</f>
        <v>78</v>
      </c>
      <c r="H665" s="335">
        <f>'Пр.4 ведом.20'!H285</f>
        <v>36.299999999999997</v>
      </c>
      <c r="I665" s="6">
        <f t="shared" si="385"/>
        <v>46.538461538461533</v>
      </c>
    </row>
    <row r="666" spans="1:9" s="217" customFormat="1" ht="54.75" customHeight="1" x14ac:dyDescent="0.25">
      <c r="A666" s="25" t="s">
        <v>1269</v>
      </c>
      <c r="B666" s="20" t="s">
        <v>940</v>
      </c>
      <c r="C666" s="40" t="s">
        <v>280</v>
      </c>
      <c r="D666" s="40" t="s">
        <v>231</v>
      </c>
      <c r="E666" s="20" t="s">
        <v>154</v>
      </c>
      <c r="F666" s="2">
        <v>903</v>
      </c>
      <c r="G666" s="10">
        <f>G665</f>
        <v>78</v>
      </c>
      <c r="H666" s="335">
        <f t="shared" ref="H666" si="390">H665</f>
        <v>36.299999999999997</v>
      </c>
      <c r="I666" s="6">
        <f t="shared" si="385"/>
        <v>46.538461538461533</v>
      </c>
    </row>
    <row r="667" spans="1:9" s="217" customFormat="1" ht="48.2" customHeight="1" x14ac:dyDescent="0.25">
      <c r="A667" s="228" t="s">
        <v>1189</v>
      </c>
      <c r="B667" s="24" t="s">
        <v>944</v>
      </c>
      <c r="C667" s="7"/>
      <c r="D667" s="7"/>
      <c r="E667" s="24"/>
      <c r="F667" s="3"/>
      <c r="G667" s="59">
        <f>G670</f>
        <v>45</v>
      </c>
      <c r="H667" s="347">
        <f t="shared" ref="H667" si="391">H670</f>
        <v>14.4</v>
      </c>
      <c r="I667" s="4">
        <f t="shared" si="385"/>
        <v>32</v>
      </c>
    </row>
    <row r="668" spans="1:9" s="217" customFormat="1" ht="18" customHeight="1" x14ac:dyDescent="0.25">
      <c r="A668" s="25" t="s">
        <v>279</v>
      </c>
      <c r="B668" s="20" t="s">
        <v>944</v>
      </c>
      <c r="C668" s="40" t="s">
        <v>280</v>
      </c>
      <c r="D668" s="40"/>
      <c r="E668" s="40"/>
      <c r="F668" s="2"/>
      <c r="G668" s="10">
        <f>G669</f>
        <v>45</v>
      </c>
      <c r="H668" s="335">
        <f t="shared" ref="H668:H671" si="392">H669</f>
        <v>14.4</v>
      </c>
      <c r="I668" s="6">
        <f t="shared" si="385"/>
        <v>32</v>
      </c>
    </row>
    <row r="669" spans="1:9" s="217" customFormat="1" ht="15.75" customHeight="1" x14ac:dyDescent="0.25">
      <c r="A669" s="25" t="s">
        <v>281</v>
      </c>
      <c r="B669" s="20" t="s">
        <v>944</v>
      </c>
      <c r="C669" s="40" t="s">
        <v>280</v>
      </c>
      <c r="D669" s="40" t="s">
        <v>231</v>
      </c>
      <c r="E669" s="40"/>
      <c r="F669" s="2"/>
      <c r="G669" s="10">
        <f>G670</f>
        <v>45</v>
      </c>
      <c r="H669" s="335">
        <f t="shared" si="392"/>
        <v>14.4</v>
      </c>
      <c r="I669" s="6">
        <f t="shared" si="385"/>
        <v>32</v>
      </c>
    </row>
    <row r="670" spans="1:9" s="217" customFormat="1" ht="15.75" customHeight="1" x14ac:dyDescent="0.25">
      <c r="A670" s="209" t="s">
        <v>831</v>
      </c>
      <c r="B670" s="20" t="s">
        <v>943</v>
      </c>
      <c r="C670" s="40" t="s">
        <v>280</v>
      </c>
      <c r="D670" s="40" t="s">
        <v>231</v>
      </c>
      <c r="E670" s="20"/>
      <c r="F670" s="2"/>
      <c r="G670" s="10">
        <f>G671</f>
        <v>45</v>
      </c>
      <c r="H670" s="335">
        <f t="shared" si="392"/>
        <v>14.4</v>
      </c>
      <c r="I670" s="6">
        <f t="shared" si="385"/>
        <v>32</v>
      </c>
    </row>
    <row r="671" spans="1:9" s="217" customFormat="1" ht="15.75" customHeight="1" x14ac:dyDescent="0.25">
      <c r="A671" s="25" t="s">
        <v>264</v>
      </c>
      <c r="B671" s="20" t="s">
        <v>943</v>
      </c>
      <c r="C671" s="40" t="s">
        <v>280</v>
      </c>
      <c r="D671" s="40" t="s">
        <v>231</v>
      </c>
      <c r="E671" s="20" t="s">
        <v>265</v>
      </c>
      <c r="F671" s="2"/>
      <c r="G671" s="10">
        <f>G672</f>
        <v>45</v>
      </c>
      <c r="H671" s="335">
        <f t="shared" si="392"/>
        <v>14.4</v>
      </c>
      <c r="I671" s="6">
        <f t="shared" si="385"/>
        <v>32</v>
      </c>
    </row>
    <row r="672" spans="1:9" s="217" customFormat="1" ht="15.75" customHeight="1" x14ac:dyDescent="0.25">
      <c r="A672" s="25" t="s">
        <v>865</v>
      </c>
      <c r="B672" s="20" t="s">
        <v>943</v>
      </c>
      <c r="C672" s="40" t="s">
        <v>280</v>
      </c>
      <c r="D672" s="40" t="s">
        <v>231</v>
      </c>
      <c r="E672" s="20" t="s">
        <v>864</v>
      </c>
      <c r="F672" s="2"/>
      <c r="G672" s="10">
        <f>'Пр.4 ведом.20'!G289</f>
        <v>45</v>
      </c>
      <c r="H672" s="335">
        <f>'Пр.4 ведом.20'!H289</f>
        <v>14.4</v>
      </c>
      <c r="I672" s="6">
        <f t="shared" si="385"/>
        <v>32</v>
      </c>
    </row>
    <row r="673" spans="1:9" s="217" customFormat="1" ht="49.7" customHeight="1" x14ac:dyDescent="0.25">
      <c r="A673" s="25" t="s">
        <v>1269</v>
      </c>
      <c r="B673" s="20" t="s">
        <v>943</v>
      </c>
      <c r="C673" s="40" t="s">
        <v>280</v>
      </c>
      <c r="D673" s="40" t="s">
        <v>231</v>
      </c>
      <c r="E673" s="20" t="s">
        <v>864</v>
      </c>
      <c r="F673" s="2">
        <v>903</v>
      </c>
      <c r="G673" s="10">
        <f>G672</f>
        <v>45</v>
      </c>
      <c r="H673" s="335">
        <f t="shared" ref="H673" si="393">H672</f>
        <v>14.4</v>
      </c>
      <c r="I673" s="6">
        <f t="shared" si="385"/>
        <v>32</v>
      </c>
    </row>
    <row r="674" spans="1:9" s="217" customFormat="1" ht="53.45" customHeight="1" x14ac:dyDescent="0.25">
      <c r="A674" s="233" t="s">
        <v>1168</v>
      </c>
      <c r="B674" s="24" t="s">
        <v>945</v>
      </c>
      <c r="C674" s="7"/>
      <c r="D674" s="7"/>
      <c r="E674" s="24"/>
      <c r="F674" s="3"/>
      <c r="G674" s="59">
        <f>G677</f>
        <v>250.00000000000003</v>
      </c>
      <c r="H674" s="347">
        <f t="shared" ref="H674" si="394">H677</f>
        <v>66.900000000000006</v>
      </c>
      <c r="I674" s="4">
        <f t="shared" si="385"/>
        <v>26.76</v>
      </c>
    </row>
    <row r="675" spans="1:9" s="217" customFormat="1" ht="16.5" customHeight="1" x14ac:dyDescent="0.25">
      <c r="A675" s="25" t="s">
        <v>279</v>
      </c>
      <c r="B675" s="20" t="s">
        <v>945</v>
      </c>
      <c r="C675" s="40" t="s">
        <v>280</v>
      </c>
      <c r="D675" s="40"/>
      <c r="E675" s="40"/>
      <c r="F675" s="2"/>
      <c r="G675" s="10">
        <f>G676</f>
        <v>250.00000000000003</v>
      </c>
      <c r="H675" s="335">
        <f t="shared" ref="H675:H676" si="395">H676</f>
        <v>66.900000000000006</v>
      </c>
      <c r="I675" s="6">
        <f t="shared" si="385"/>
        <v>26.76</v>
      </c>
    </row>
    <row r="676" spans="1:9" s="217" customFormat="1" ht="16.5" customHeight="1" x14ac:dyDescent="0.25">
      <c r="A676" s="25" t="s">
        <v>281</v>
      </c>
      <c r="B676" s="20" t="s">
        <v>945</v>
      </c>
      <c r="C676" s="40" t="s">
        <v>280</v>
      </c>
      <c r="D676" s="40" t="s">
        <v>231</v>
      </c>
      <c r="E676" s="40"/>
      <c r="F676" s="2"/>
      <c r="G676" s="10">
        <f>G677</f>
        <v>250.00000000000003</v>
      </c>
      <c r="H676" s="335">
        <f t="shared" si="395"/>
        <v>66.900000000000006</v>
      </c>
      <c r="I676" s="6">
        <f t="shared" si="385"/>
        <v>26.76</v>
      </c>
    </row>
    <row r="677" spans="1:9" s="217" customFormat="1" ht="34.5" customHeight="1" x14ac:dyDescent="0.25">
      <c r="A677" s="31" t="s">
        <v>860</v>
      </c>
      <c r="B677" s="20" t="s">
        <v>946</v>
      </c>
      <c r="C677" s="40" t="s">
        <v>280</v>
      </c>
      <c r="D677" s="40" t="s">
        <v>231</v>
      </c>
      <c r="E677" s="20"/>
      <c r="F677" s="2"/>
      <c r="G677" s="10">
        <f>G678+G681</f>
        <v>250.00000000000003</v>
      </c>
      <c r="H677" s="335">
        <f t="shared" ref="H677" si="396">H678+H681</f>
        <v>66.900000000000006</v>
      </c>
      <c r="I677" s="6">
        <f t="shared" si="385"/>
        <v>26.76</v>
      </c>
    </row>
    <row r="678" spans="1:9" s="217" customFormat="1" ht="84.2" customHeight="1" x14ac:dyDescent="0.25">
      <c r="A678" s="25" t="s">
        <v>143</v>
      </c>
      <c r="B678" s="20" t="s">
        <v>946</v>
      </c>
      <c r="C678" s="40" t="s">
        <v>280</v>
      </c>
      <c r="D678" s="40" t="s">
        <v>231</v>
      </c>
      <c r="E678" s="20" t="s">
        <v>144</v>
      </c>
      <c r="F678" s="2"/>
      <c r="G678" s="10">
        <f>G679</f>
        <v>250.00000000000003</v>
      </c>
      <c r="H678" s="335">
        <f t="shared" ref="H678" si="397">H679</f>
        <v>66.900000000000006</v>
      </c>
      <c r="I678" s="6">
        <f t="shared" si="385"/>
        <v>26.76</v>
      </c>
    </row>
    <row r="679" spans="1:9" s="217" customFormat="1" ht="15.75" customHeight="1" x14ac:dyDescent="0.25">
      <c r="A679" s="46" t="s">
        <v>358</v>
      </c>
      <c r="B679" s="20" t="s">
        <v>946</v>
      </c>
      <c r="C679" s="40" t="s">
        <v>280</v>
      </c>
      <c r="D679" s="40" t="s">
        <v>231</v>
      </c>
      <c r="E679" s="20" t="s">
        <v>225</v>
      </c>
      <c r="F679" s="2"/>
      <c r="G679" s="10">
        <f>'Пр.4 ведом.20'!G293</f>
        <v>250.00000000000003</v>
      </c>
      <c r="H679" s="335">
        <f>'Пр.4 ведом.20'!H293</f>
        <v>66.900000000000006</v>
      </c>
      <c r="I679" s="6">
        <f t="shared" si="385"/>
        <v>26.76</v>
      </c>
    </row>
    <row r="680" spans="1:9" s="217" customFormat="1" ht="49.7" customHeight="1" x14ac:dyDescent="0.25">
      <c r="A680" s="25" t="s">
        <v>1269</v>
      </c>
      <c r="B680" s="20" t="s">
        <v>946</v>
      </c>
      <c r="C680" s="40" t="s">
        <v>280</v>
      </c>
      <c r="D680" s="40" t="s">
        <v>231</v>
      </c>
      <c r="E680" s="20" t="s">
        <v>225</v>
      </c>
      <c r="F680" s="2">
        <v>903</v>
      </c>
      <c r="G680" s="10">
        <f>G679</f>
        <v>250.00000000000003</v>
      </c>
      <c r="H680" s="335">
        <f t="shared" ref="H680" si="398">H679</f>
        <v>66.900000000000006</v>
      </c>
      <c r="I680" s="6">
        <f t="shared" si="385"/>
        <v>26.76</v>
      </c>
    </row>
    <row r="681" spans="1:9" s="217" customFormat="1" ht="36.75" hidden="1" customHeight="1" x14ac:dyDescent="0.25">
      <c r="A681" s="25" t="s">
        <v>147</v>
      </c>
      <c r="B681" s="20" t="s">
        <v>946</v>
      </c>
      <c r="C681" s="40" t="s">
        <v>280</v>
      </c>
      <c r="D681" s="40" t="s">
        <v>231</v>
      </c>
      <c r="E681" s="20" t="s">
        <v>148</v>
      </c>
      <c r="F681" s="2"/>
      <c r="G681" s="10">
        <f>G682</f>
        <v>0</v>
      </c>
      <c r="H681" s="335">
        <f t="shared" ref="H681" si="399">H682</f>
        <v>0</v>
      </c>
      <c r="I681" s="6" t="e">
        <f t="shared" si="385"/>
        <v>#DIV/0!</v>
      </c>
    </row>
    <row r="682" spans="1:9" s="217" customFormat="1" ht="15.75" hidden="1" customHeight="1" x14ac:dyDescent="0.25">
      <c r="A682" s="25" t="s">
        <v>149</v>
      </c>
      <c r="B682" s="20" t="s">
        <v>946</v>
      </c>
      <c r="C682" s="40" t="s">
        <v>280</v>
      </c>
      <c r="D682" s="40" t="s">
        <v>231</v>
      </c>
      <c r="E682" s="20" t="s">
        <v>150</v>
      </c>
      <c r="F682" s="2"/>
      <c r="G682" s="10">
        <f>'Пр.4 ведом.20'!G295</f>
        <v>0</v>
      </c>
      <c r="H682" s="335">
        <f>'Пр.4 ведом.20'!H295</f>
        <v>0</v>
      </c>
      <c r="I682" s="6" t="e">
        <f t="shared" si="385"/>
        <v>#DIV/0!</v>
      </c>
    </row>
    <row r="683" spans="1:9" s="217" customFormat="1" ht="48.2" hidden="1" customHeight="1" x14ac:dyDescent="0.25">
      <c r="A683" s="25" t="s">
        <v>1269</v>
      </c>
      <c r="B683" s="20" t="s">
        <v>946</v>
      </c>
      <c r="C683" s="40" t="s">
        <v>280</v>
      </c>
      <c r="D683" s="40" t="s">
        <v>231</v>
      </c>
      <c r="E683" s="20" t="s">
        <v>150</v>
      </c>
      <c r="F683" s="2">
        <v>903</v>
      </c>
      <c r="G683" s="10">
        <f>G682</f>
        <v>0</v>
      </c>
      <c r="H683" s="335">
        <f t="shared" ref="H683" si="400">H682</f>
        <v>0</v>
      </c>
      <c r="I683" s="6" t="e">
        <f t="shared" si="385"/>
        <v>#DIV/0!</v>
      </c>
    </row>
    <row r="684" spans="1:9" s="217" customFormat="1" ht="36.75" customHeight="1" x14ac:dyDescent="0.25">
      <c r="A684" s="23" t="s">
        <v>1076</v>
      </c>
      <c r="B684" s="24" t="s">
        <v>951</v>
      </c>
      <c r="C684" s="7"/>
      <c r="D684" s="7"/>
      <c r="E684" s="24"/>
      <c r="F684" s="3"/>
      <c r="G684" s="59">
        <f>G687</f>
        <v>336</v>
      </c>
      <c r="H684" s="347">
        <f t="shared" ref="H684" si="401">H687</f>
        <v>211.2</v>
      </c>
      <c r="I684" s="4">
        <f t="shared" si="385"/>
        <v>62.857142857142854</v>
      </c>
    </row>
    <row r="685" spans="1:9" s="217" customFormat="1" ht="17.45" customHeight="1" x14ac:dyDescent="0.25">
      <c r="A685" s="25" t="s">
        <v>279</v>
      </c>
      <c r="B685" s="20" t="s">
        <v>951</v>
      </c>
      <c r="C685" s="40" t="s">
        <v>280</v>
      </c>
      <c r="D685" s="40"/>
      <c r="E685" s="40"/>
      <c r="F685" s="2"/>
      <c r="G685" s="10">
        <f>G686</f>
        <v>336</v>
      </c>
      <c r="H685" s="335">
        <f t="shared" ref="H685:H688" si="402">H686</f>
        <v>211.2</v>
      </c>
      <c r="I685" s="6">
        <f t="shared" si="385"/>
        <v>62.857142857142854</v>
      </c>
    </row>
    <row r="686" spans="1:9" s="217" customFormat="1" ht="18.75" customHeight="1" x14ac:dyDescent="0.25">
      <c r="A686" s="25" t="s">
        <v>281</v>
      </c>
      <c r="B686" s="20" t="s">
        <v>951</v>
      </c>
      <c r="C686" s="40" t="s">
        <v>280</v>
      </c>
      <c r="D686" s="40" t="s">
        <v>231</v>
      </c>
      <c r="E686" s="40"/>
      <c r="F686" s="2"/>
      <c r="G686" s="10">
        <f>G687</f>
        <v>336</v>
      </c>
      <c r="H686" s="335">
        <f t="shared" si="402"/>
        <v>211.2</v>
      </c>
      <c r="I686" s="6">
        <f t="shared" si="385"/>
        <v>62.857142857142854</v>
      </c>
    </row>
    <row r="687" spans="1:9" s="217" customFormat="1" ht="49.7" customHeight="1" x14ac:dyDescent="0.25">
      <c r="A687" s="25" t="s">
        <v>885</v>
      </c>
      <c r="B687" s="20" t="s">
        <v>1263</v>
      </c>
      <c r="C687" s="40" t="s">
        <v>280</v>
      </c>
      <c r="D687" s="40" t="s">
        <v>231</v>
      </c>
      <c r="E687" s="20"/>
      <c r="F687" s="2"/>
      <c r="G687" s="10">
        <f>G688</f>
        <v>336</v>
      </c>
      <c r="H687" s="335">
        <f t="shared" si="402"/>
        <v>211.2</v>
      </c>
      <c r="I687" s="6">
        <f t="shared" si="385"/>
        <v>62.857142857142854</v>
      </c>
    </row>
    <row r="688" spans="1:9" s="217" customFormat="1" ht="83.25" customHeight="1" x14ac:dyDescent="0.25">
      <c r="A688" s="25" t="s">
        <v>143</v>
      </c>
      <c r="B688" s="20" t="s">
        <v>1263</v>
      </c>
      <c r="C688" s="40" t="s">
        <v>280</v>
      </c>
      <c r="D688" s="40" t="s">
        <v>231</v>
      </c>
      <c r="E688" s="20" t="s">
        <v>144</v>
      </c>
      <c r="F688" s="2"/>
      <c r="G688" s="10">
        <f>G689</f>
        <v>336</v>
      </c>
      <c r="H688" s="335">
        <f t="shared" si="402"/>
        <v>211.2</v>
      </c>
      <c r="I688" s="6">
        <f t="shared" si="385"/>
        <v>62.857142857142854</v>
      </c>
    </row>
    <row r="689" spans="1:9" s="217" customFormat="1" ht="36" customHeight="1" x14ac:dyDescent="0.25">
      <c r="A689" s="25" t="s">
        <v>145</v>
      </c>
      <c r="B689" s="20" t="s">
        <v>1263</v>
      </c>
      <c r="C689" s="40" t="s">
        <v>280</v>
      </c>
      <c r="D689" s="40" t="s">
        <v>231</v>
      </c>
      <c r="E689" s="20" t="s">
        <v>225</v>
      </c>
      <c r="F689" s="2"/>
      <c r="G689" s="10">
        <f>'Пр.4 ведом.20'!G299</f>
        <v>336</v>
      </c>
      <c r="H689" s="335">
        <f>'Пр.4 ведом.20'!H299</f>
        <v>211.2</v>
      </c>
      <c r="I689" s="6">
        <f t="shared" si="385"/>
        <v>62.857142857142854</v>
      </c>
    </row>
    <row r="690" spans="1:9" s="217" customFormat="1" ht="53.45" customHeight="1" x14ac:dyDescent="0.25">
      <c r="A690" s="25" t="s">
        <v>1269</v>
      </c>
      <c r="B690" s="20" t="s">
        <v>1263</v>
      </c>
      <c r="C690" s="40" t="s">
        <v>280</v>
      </c>
      <c r="D690" s="40" t="s">
        <v>231</v>
      </c>
      <c r="E690" s="20" t="s">
        <v>225</v>
      </c>
      <c r="F690" s="2">
        <v>903</v>
      </c>
      <c r="G690" s="10">
        <f>G689</f>
        <v>336</v>
      </c>
      <c r="H690" s="335">
        <f t="shared" ref="H690" si="403">H689</f>
        <v>211.2</v>
      </c>
      <c r="I690" s="6">
        <f t="shared" si="385"/>
        <v>62.857142857142854</v>
      </c>
    </row>
    <row r="691" spans="1:9" s="217" customFormat="1" ht="48.2" customHeight="1" x14ac:dyDescent="0.25">
      <c r="A691" s="23" t="s">
        <v>971</v>
      </c>
      <c r="B691" s="24" t="s">
        <v>1264</v>
      </c>
      <c r="C691" s="7"/>
      <c r="D691" s="7"/>
      <c r="E691" s="24"/>
      <c r="F691" s="3"/>
      <c r="G691" s="59">
        <f>G698+G702+G706+G694</f>
        <v>1001.7</v>
      </c>
      <c r="H691" s="347">
        <f t="shared" ref="H691" si="404">H698+H702+H706+H694</f>
        <v>394.50000000000006</v>
      </c>
      <c r="I691" s="4">
        <f t="shared" si="385"/>
        <v>39.383048817011087</v>
      </c>
    </row>
    <row r="692" spans="1:9" s="217" customFormat="1" ht="18.75" customHeight="1" x14ac:dyDescent="0.25">
      <c r="A692" s="25" t="s">
        <v>279</v>
      </c>
      <c r="B692" s="20" t="s">
        <v>1264</v>
      </c>
      <c r="C692" s="40" t="s">
        <v>280</v>
      </c>
      <c r="D692" s="40"/>
      <c r="E692" s="40"/>
      <c r="F692" s="2"/>
      <c r="G692" s="10">
        <f>G693</f>
        <v>1001.7</v>
      </c>
      <c r="H692" s="335">
        <f t="shared" ref="H692" si="405">H693</f>
        <v>394.50000000000006</v>
      </c>
      <c r="I692" s="6">
        <f t="shared" si="385"/>
        <v>39.383048817011087</v>
      </c>
    </row>
    <row r="693" spans="1:9" s="217" customFormat="1" ht="19.5" customHeight="1" x14ac:dyDescent="0.25">
      <c r="A693" s="25" t="s">
        <v>281</v>
      </c>
      <c r="B693" s="20" t="s">
        <v>1264</v>
      </c>
      <c r="C693" s="40" t="s">
        <v>280</v>
      </c>
      <c r="D693" s="40" t="s">
        <v>231</v>
      </c>
      <c r="E693" s="40"/>
      <c r="F693" s="2"/>
      <c r="G693" s="10">
        <f>G698+G702+G706+G694</f>
        <v>1001.7</v>
      </c>
      <c r="H693" s="335">
        <f t="shared" ref="H693" si="406">H698+H702+H706+H694</f>
        <v>394.50000000000006</v>
      </c>
      <c r="I693" s="6">
        <f t="shared" si="385"/>
        <v>39.383048817011087</v>
      </c>
    </row>
    <row r="694" spans="1:9" s="331" customFormat="1" ht="94.5" x14ac:dyDescent="0.25">
      <c r="A694" s="31" t="s">
        <v>309</v>
      </c>
      <c r="B694" s="338" t="s">
        <v>1520</v>
      </c>
      <c r="C694" s="346" t="s">
        <v>280</v>
      </c>
      <c r="D694" s="346" t="s">
        <v>231</v>
      </c>
      <c r="E694" s="346"/>
      <c r="F694" s="2"/>
      <c r="G694" s="335">
        <f>G695</f>
        <v>422.5</v>
      </c>
      <c r="H694" s="335">
        <f t="shared" ref="H694:H695" si="407">H695</f>
        <v>59.8</v>
      </c>
      <c r="I694" s="6">
        <f t="shared" si="385"/>
        <v>14.153846153846153</v>
      </c>
    </row>
    <row r="695" spans="1:9" s="331" customFormat="1" ht="78.75" x14ac:dyDescent="0.25">
      <c r="A695" s="342" t="s">
        <v>143</v>
      </c>
      <c r="B695" s="338" t="s">
        <v>1520</v>
      </c>
      <c r="C695" s="346" t="s">
        <v>280</v>
      </c>
      <c r="D695" s="346" t="s">
        <v>231</v>
      </c>
      <c r="E695" s="346" t="s">
        <v>144</v>
      </c>
      <c r="F695" s="2"/>
      <c r="G695" s="335">
        <f>G696</f>
        <v>422.5</v>
      </c>
      <c r="H695" s="335">
        <f t="shared" si="407"/>
        <v>59.8</v>
      </c>
      <c r="I695" s="6">
        <f t="shared" si="385"/>
        <v>14.153846153846153</v>
      </c>
    </row>
    <row r="696" spans="1:9" s="331" customFormat="1" ht="15.75" x14ac:dyDescent="0.25">
      <c r="A696" s="46" t="s">
        <v>358</v>
      </c>
      <c r="B696" s="338" t="s">
        <v>1520</v>
      </c>
      <c r="C696" s="346" t="s">
        <v>280</v>
      </c>
      <c r="D696" s="346" t="s">
        <v>231</v>
      </c>
      <c r="E696" s="346" t="s">
        <v>225</v>
      </c>
      <c r="F696" s="2"/>
      <c r="G696" s="335">
        <f>'Пр.4 ведом.20'!G303</f>
        <v>422.5</v>
      </c>
      <c r="H696" s="335">
        <f>'Пр.4 ведом.20'!H303</f>
        <v>59.8</v>
      </c>
      <c r="I696" s="6">
        <f t="shared" si="385"/>
        <v>14.153846153846153</v>
      </c>
    </row>
    <row r="697" spans="1:9" s="331" customFormat="1" ht="47.25" x14ac:dyDescent="0.25">
      <c r="A697" s="342" t="s">
        <v>1269</v>
      </c>
      <c r="B697" s="338" t="s">
        <v>1520</v>
      </c>
      <c r="C697" s="346" t="s">
        <v>280</v>
      </c>
      <c r="D697" s="346" t="s">
        <v>231</v>
      </c>
      <c r="E697" s="346" t="s">
        <v>225</v>
      </c>
      <c r="F697" s="2">
        <v>903</v>
      </c>
      <c r="G697" s="335">
        <f>G694</f>
        <v>422.5</v>
      </c>
      <c r="H697" s="335">
        <f t="shared" ref="H697" si="408">H694</f>
        <v>59.8</v>
      </c>
      <c r="I697" s="6">
        <f t="shared" si="385"/>
        <v>14.153846153846153</v>
      </c>
    </row>
    <row r="698" spans="1:9" s="217" customFormat="1" ht="66.75" customHeight="1" x14ac:dyDescent="0.25">
      <c r="A698" s="31" t="s">
        <v>305</v>
      </c>
      <c r="B698" s="20" t="s">
        <v>1265</v>
      </c>
      <c r="C698" s="40" t="s">
        <v>280</v>
      </c>
      <c r="D698" s="40" t="s">
        <v>231</v>
      </c>
      <c r="E698" s="20"/>
      <c r="F698" s="2"/>
      <c r="G698" s="10">
        <f>G699</f>
        <v>100.8</v>
      </c>
      <c r="H698" s="335">
        <f t="shared" ref="H698:H699" si="409">H699</f>
        <v>42.7</v>
      </c>
      <c r="I698" s="6">
        <f t="shared" si="385"/>
        <v>42.361111111111114</v>
      </c>
    </row>
    <row r="699" spans="1:9" s="217" customFormat="1" ht="87.75" customHeight="1" x14ac:dyDescent="0.25">
      <c r="A699" s="25" t="s">
        <v>143</v>
      </c>
      <c r="B699" s="20" t="s">
        <v>1265</v>
      </c>
      <c r="C699" s="40" t="s">
        <v>280</v>
      </c>
      <c r="D699" s="40" t="s">
        <v>231</v>
      </c>
      <c r="E699" s="20" t="s">
        <v>144</v>
      </c>
      <c r="F699" s="2"/>
      <c r="G699" s="10">
        <f>G700</f>
        <v>100.8</v>
      </c>
      <c r="H699" s="335">
        <f t="shared" si="409"/>
        <v>42.7</v>
      </c>
      <c r="I699" s="6">
        <f t="shared" si="385"/>
        <v>42.361111111111114</v>
      </c>
    </row>
    <row r="700" spans="1:9" s="217" customFormat="1" ht="18.75" customHeight="1" x14ac:dyDescent="0.25">
      <c r="A700" s="46" t="s">
        <v>358</v>
      </c>
      <c r="B700" s="20" t="s">
        <v>1265</v>
      </c>
      <c r="C700" s="40" t="s">
        <v>280</v>
      </c>
      <c r="D700" s="40" t="s">
        <v>231</v>
      </c>
      <c r="E700" s="20" t="s">
        <v>225</v>
      </c>
      <c r="F700" s="2"/>
      <c r="G700" s="10">
        <f>'Пр.4 ведом.20'!G306</f>
        <v>100.8</v>
      </c>
      <c r="H700" s="335">
        <f>'Пр.4 ведом.20'!H306</f>
        <v>42.7</v>
      </c>
      <c r="I700" s="6">
        <f t="shared" si="385"/>
        <v>42.361111111111114</v>
      </c>
    </row>
    <row r="701" spans="1:9" s="217" customFormat="1" ht="55.5" customHeight="1" x14ac:dyDescent="0.25">
      <c r="A701" s="25" t="s">
        <v>1269</v>
      </c>
      <c r="B701" s="20" t="s">
        <v>1265</v>
      </c>
      <c r="C701" s="40" t="s">
        <v>280</v>
      </c>
      <c r="D701" s="40" t="s">
        <v>231</v>
      </c>
      <c r="E701" s="20" t="s">
        <v>225</v>
      </c>
      <c r="F701" s="2">
        <v>903</v>
      </c>
      <c r="G701" s="10">
        <f>G700</f>
        <v>100.8</v>
      </c>
      <c r="H701" s="335">
        <f t="shared" ref="H701" si="410">H700</f>
        <v>42.7</v>
      </c>
      <c r="I701" s="6">
        <f t="shared" si="385"/>
        <v>42.361111111111114</v>
      </c>
    </row>
    <row r="702" spans="1:9" s="217" customFormat="1" ht="70.5" customHeight="1" x14ac:dyDescent="0.25">
      <c r="A702" s="31" t="s">
        <v>307</v>
      </c>
      <c r="B702" s="20" t="s">
        <v>1266</v>
      </c>
      <c r="C702" s="40" t="s">
        <v>280</v>
      </c>
      <c r="D702" s="40" t="s">
        <v>231</v>
      </c>
      <c r="E702" s="20"/>
      <c r="F702" s="2"/>
      <c r="G702" s="10">
        <f>G703</f>
        <v>298.40000000000003</v>
      </c>
      <c r="H702" s="335">
        <f t="shared" ref="H702:H703" si="411">H703</f>
        <v>128.9</v>
      </c>
      <c r="I702" s="6">
        <f t="shared" si="385"/>
        <v>43.197050938337803</v>
      </c>
    </row>
    <row r="703" spans="1:9" s="217" customFormat="1" ht="88.5" customHeight="1" x14ac:dyDescent="0.25">
      <c r="A703" s="25" t="s">
        <v>143</v>
      </c>
      <c r="B703" s="20" t="s">
        <v>1266</v>
      </c>
      <c r="C703" s="40" t="s">
        <v>280</v>
      </c>
      <c r="D703" s="40" t="s">
        <v>231</v>
      </c>
      <c r="E703" s="20" t="s">
        <v>144</v>
      </c>
      <c r="F703" s="2"/>
      <c r="G703" s="10">
        <f>G704</f>
        <v>298.40000000000003</v>
      </c>
      <c r="H703" s="335">
        <f t="shared" si="411"/>
        <v>128.9</v>
      </c>
      <c r="I703" s="6">
        <f t="shared" si="385"/>
        <v>43.197050938337803</v>
      </c>
    </row>
    <row r="704" spans="1:9" s="217" customFormat="1" ht="20.25" customHeight="1" x14ac:dyDescent="0.25">
      <c r="A704" s="46" t="s">
        <v>358</v>
      </c>
      <c r="B704" s="20" t="s">
        <v>1266</v>
      </c>
      <c r="C704" s="40" t="s">
        <v>280</v>
      </c>
      <c r="D704" s="40" t="s">
        <v>231</v>
      </c>
      <c r="E704" s="20" t="s">
        <v>225</v>
      </c>
      <c r="F704" s="2"/>
      <c r="G704" s="10">
        <f>'Пр.4 ведом.20'!G309</f>
        <v>298.40000000000003</v>
      </c>
      <c r="H704" s="335">
        <f>'Пр.4 ведом.20'!H309</f>
        <v>128.9</v>
      </c>
      <c r="I704" s="6">
        <f t="shared" si="385"/>
        <v>43.197050938337803</v>
      </c>
    </row>
    <row r="705" spans="1:9" s="217" customFormat="1" ht="51.75" customHeight="1" x14ac:dyDescent="0.25">
      <c r="A705" s="25" t="s">
        <v>1269</v>
      </c>
      <c r="B705" s="20" t="s">
        <v>1266</v>
      </c>
      <c r="C705" s="40" t="s">
        <v>280</v>
      </c>
      <c r="D705" s="40" t="s">
        <v>231</v>
      </c>
      <c r="E705" s="20" t="s">
        <v>225</v>
      </c>
      <c r="F705" s="2">
        <v>903</v>
      </c>
      <c r="G705" s="10">
        <f>G704</f>
        <v>298.40000000000003</v>
      </c>
      <c r="H705" s="335">
        <f t="shared" ref="H705" si="412">H704</f>
        <v>128.9</v>
      </c>
      <c r="I705" s="6">
        <f t="shared" si="385"/>
        <v>43.197050938337803</v>
      </c>
    </row>
    <row r="706" spans="1:9" s="217" customFormat="1" ht="96" customHeight="1" x14ac:dyDescent="0.25">
      <c r="A706" s="31" t="s">
        <v>309</v>
      </c>
      <c r="B706" s="20" t="s">
        <v>1267</v>
      </c>
      <c r="C706" s="40" t="s">
        <v>280</v>
      </c>
      <c r="D706" s="40" t="s">
        <v>231</v>
      </c>
      <c r="E706" s="20"/>
      <c r="F706" s="2"/>
      <c r="G706" s="10">
        <f>G707</f>
        <v>180</v>
      </c>
      <c r="H706" s="335">
        <f t="shared" ref="H706:H707" si="413">H707</f>
        <v>163.1</v>
      </c>
      <c r="I706" s="6">
        <f t="shared" si="385"/>
        <v>90.611111111111114</v>
      </c>
    </row>
    <row r="707" spans="1:9" s="217" customFormat="1" ht="79.5" customHeight="1" x14ac:dyDescent="0.25">
      <c r="A707" s="25" t="s">
        <v>143</v>
      </c>
      <c r="B707" s="20" t="s">
        <v>1267</v>
      </c>
      <c r="C707" s="40" t="s">
        <v>280</v>
      </c>
      <c r="D707" s="40" t="s">
        <v>231</v>
      </c>
      <c r="E707" s="20" t="s">
        <v>144</v>
      </c>
      <c r="F707" s="2"/>
      <c r="G707" s="10">
        <f>G708</f>
        <v>180</v>
      </c>
      <c r="H707" s="335">
        <f t="shared" si="413"/>
        <v>163.1</v>
      </c>
      <c r="I707" s="6">
        <f t="shared" si="385"/>
        <v>90.611111111111114</v>
      </c>
    </row>
    <row r="708" spans="1:9" s="217" customFormat="1" ht="15.75" customHeight="1" x14ac:dyDescent="0.25">
      <c r="A708" s="46" t="s">
        <v>358</v>
      </c>
      <c r="B708" s="20" t="s">
        <v>1267</v>
      </c>
      <c r="C708" s="40" t="s">
        <v>280</v>
      </c>
      <c r="D708" s="40" t="s">
        <v>231</v>
      </c>
      <c r="E708" s="20" t="s">
        <v>225</v>
      </c>
      <c r="F708" s="2"/>
      <c r="G708" s="10">
        <f>'Пр.4 ведом.20'!G312</f>
        <v>180</v>
      </c>
      <c r="H708" s="335">
        <f>'Пр.4 ведом.20'!H312</f>
        <v>163.1</v>
      </c>
      <c r="I708" s="6">
        <f t="shared" si="385"/>
        <v>90.611111111111114</v>
      </c>
    </row>
    <row r="709" spans="1:9" s="217" customFormat="1" ht="49.7" customHeight="1" x14ac:dyDescent="0.25">
      <c r="A709" s="25" t="s">
        <v>1269</v>
      </c>
      <c r="B709" s="20" t="s">
        <v>1267</v>
      </c>
      <c r="C709" s="40" t="s">
        <v>280</v>
      </c>
      <c r="D709" s="40" t="s">
        <v>231</v>
      </c>
      <c r="E709" s="20" t="s">
        <v>225</v>
      </c>
      <c r="F709" s="2">
        <v>903</v>
      </c>
      <c r="G709" s="10">
        <f>G708</f>
        <v>180</v>
      </c>
      <c r="H709" s="335">
        <f t="shared" ref="H709" si="414">H708</f>
        <v>163.1</v>
      </c>
      <c r="I709" s="6">
        <f t="shared" si="385"/>
        <v>90.611111111111114</v>
      </c>
    </row>
    <row r="710" spans="1:9" s="1" customFormat="1" ht="66.2" customHeight="1" x14ac:dyDescent="0.25">
      <c r="A710" s="41" t="s">
        <v>821</v>
      </c>
      <c r="B710" s="7" t="s">
        <v>340</v>
      </c>
      <c r="C710" s="72"/>
      <c r="D710" s="72"/>
      <c r="E710" s="72"/>
      <c r="F710" s="72"/>
      <c r="G710" s="59">
        <f>G711</f>
        <v>307</v>
      </c>
      <c r="H710" s="347">
        <f t="shared" ref="H710" si="415">H711</f>
        <v>150</v>
      </c>
      <c r="I710" s="4">
        <f t="shared" si="385"/>
        <v>48.859934853420192</v>
      </c>
    </row>
    <row r="711" spans="1:9" s="218" customFormat="1" ht="64.5" customHeight="1" x14ac:dyDescent="0.25">
      <c r="A711" s="34" t="s">
        <v>1191</v>
      </c>
      <c r="B711" s="7" t="s">
        <v>1025</v>
      </c>
      <c r="C711" s="7"/>
      <c r="D711" s="7"/>
      <c r="E711" s="72"/>
      <c r="F711" s="72"/>
      <c r="G711" s="59">
        <f>G712+G718+G729+G735</f>
        <v>307</v>
      </c>
      <c r="H711" s="347">
        <f t="shared" ref="H711" si="416">H712+H718+H729+H735</f>
        <v>150</v>
      </c>
      <c r="I711" s="4">
        <f t="shared" si="385"/>
        <v>48.859934853420192</v>
      </c>
    </row>
    <row r="712" spans="1:9" s="218" customFormat="1" ht="18.75" customHeight="1" x14ac:dyDescent="0.25">
      <c r="A712" s="31" t="s">
        <v>406</v>
      </c>
      <c r="B712" s="40" t="s">
        <v>1025</v>
      </c>
      <c r="C712" s="40" t="s">
        <v>250</v>
      </c>
      <c r="D712" s="40"/>
      <c r="E712" s="72"/>
      <c r="F712" s="72"/>
      <c r="G712" s="10">
        <f>G713</f>
        <v>57</v>
      </c>
      <c r="H712" s="335">
        <f t="shared" ref="H712:H716" si="417">H713</f>
        <v>0</v>
      </c>
      <c r="I712" s="6">
        <f t="shared" si="385"/>
        <v>0</v>
      </c>
    </row>
    <row r="713" spans="1:9" s="218" customFormat="1" ht="37.5" customHeight="1" x14ac:dyDescent="0.25">
      <c r="A713" s="31" t="s">
        <v>585</v>
      </c>
      <c r="B713" s="40" t="s">
        <v>1025</v>
      </c>
      <c r="C713" s="40" t="s">
        <v>250</v>
      </c>
      <c r="D713" s="40" t="s">
        <v>250</v>
      </c>
      <c r="E713" s="72"/>
      <c r="F713" s="72"/>
      <c r="G713" s="10">
        <f>G714</f>
        <v>57</v>
      </c>
      <c r="H713" s="335">
        <f t="shared" si="417"/>
        <v>0</v>
      </c>
      <c r="I713" s="6">
        <f t="shared" si="385"/>
        <v>0</v>
      </c>
    </row>
    <row r="714" spans="1:9" s="218" customFormat="1" ht="51.75" customHeight="1" x14ac:dyDescent="0.25">
      <c r="A714" s="31" t="s">
        <v>1273</v>
      </c>
      <c r="B714" s="20" t="s">
        <v>1192</v>
      </c>
      <c r="C714" s="40" t="s">
        <v>250</v>
      </c>
      <c r="D714" s="40" t="s">
        <v>250</v>
      </c>
      <c r="E714" s="72"/>
      <c r="F714" s="72"/>
      <c r="G714" s="10">
        <f>G715</f>
        <v>57</v>
      </c>
      <c r="H714" s="335">
        <f t="shared" si="417"/>
        <v>0</v>
      </c>
      <c r="I714" s="6">
        <f t="shared" si="385"/>
        <v>0</v>
      </c>
    </row>
    <row r="715" spans="1:9" s="218" customFormat="1" ht="35.450000000000003" customHeight="1" x14ac:dyDescent="0.25">
      <c r="A715" s="25" t="s">
        <v>147</v>
      </c>
      <c r="B715" s="20" t="s">
        <v>1192</v>
      </c>
      <c r="C715" s="40" t="s">
        <v>250</v>
      </c>
      <c r="D715" s="40" t="s">
        <v>250</v>
      </c>
      <c r="E715" s="2">
        <v>200</v>
      </c>
      <c r="F715" s="72"/>
      <c r="G715" s="10">
        <f>G716</f>
        <v>57</v>
      </c>
      <c r="H715" s="335">
        <f t="shared" si="417"/>
        <v>0</v>
      </c>
      <c r="I715" s="6">
        <f t="shared" si="385"/>
        <v>0</v>
      </c>
    </row>
    <row r="716" spans="1:9" s="218" customFormat="1" ht="34.5" customHeight="1" x14ac:dyDescent="0.25">
      <c r="A716" s="25" t="s">
        <v>149</v>
      </c>
      <c r="B716" s="20" t="s">
        <v>1192</v>
      </c>
      <c r="C716" s="40" t="s">
        <v>250</v>
      </c>
      <c r="D716" s="40" t="s">
        <v>250</v>
      </c>
      <c r="E716" s="2">
        <v>240</v>
      </c>
      <c r="F716" s="72"/>
      <c r="G716" s="10">
        <f>G717</f>
        <v>57</v>
      </c>
      <c r="H716" s="335">
        <f t="shared" si="417"/>
        <v>0</v>
      </c>
      <c r="I716" s="6">
        <f t="shared" si="385"/>
        <v>0</v>
      </c>
    </row>
    <row r="717" spans="1:9" s="218" customFormat="1" ht="52.5" customHeight="1" x14ac:dyDescent="0.25">
      <c r="A717" s="31" t="s">
        <v>1307</v>
      </c>
      <c r="B717" s="20" t="s">
        <v>1192</v>
      </c>
      <c r="C717" s="40" t="s">
        <v>250</v>
      </c>
      <c r="D717" s="40" t="s">
        <v>250</v>
      </c>
      <c r="E717" s="2">
        <v>240</v>
      </c>
      <c r="F717" s="2">
        <v>908</v>
      </c>
      <c r="G717" s="10">
        <f>'Пр.4 ведом.20'!G1110</f>
        <v>57</v>
      </c>
      <c r="H717" s="335">
        <f>'Пр.4 ведом.20'!H1110</f>
        <v>0</v>
      </c>
      <c r="I717" s="6">
        <f t="shared" si="385"/>
        <v>0</v>
      </c>
    </row>
    <row r="718" spans="1:9" s="1" customFormat="1" ht="15.75" x14ac:dyDescent="0.25">
      <c r="A718" s="25" t="s">
        <v>279</v>
      </c>
      <c r="B718" s="40" t="s">
        <v>1025</v>
      </c>
      <c r="C718" s="40" t="s">
        <v>280</v>
      </c>
      <c r="D718" s="73"/>
      <c r="E718" s="73"/>
      <c r="F718" s="73"/>
      <c r="G718" s="10">
        <f>G719+G724</f>
        <v>150</v>
      </c>
      <c r="H718" s="335">
        <f t="shared" ref="H718" si="418">H719+H724</f>
        <v>150</v>
      </c>
      <c r="I718" s="6">
        <f t="shared" si="385"/>
        <v>100</v>
      </c>
    </row>
    <row r="719" spans="1:9" s="1" customFormat="1" ht="15.75" hidden="1" x14ac:dyDescent="0.25">
      <c r="A719" s="25" t="s">
        <v>420</v>
      </c>
      <c r="B719" s="40" t="s">
        <v>1025</v>
      </c>
      <c r="C719" s="40" t="s">
        <v>280</v>
      </c>
      <c r="D719" s="40" t="s">
        <v>134</v>
      </c>
      <c r="E719" s="73"/>
      <c r="F719" s="73"/>
      <c r="G719" s="10">
        <f>G720</f>
        <v>0</v>
      </c>
      <c r="H719" s="335">
        <f t="shared" ref="H719:H721" si="419">H720</f>
        <v>0</v>
      </c>
      <c r="I719" s="6" t="e">
        <f t="shared" si="385"/>
        <v>#DIV/0!</v>
      </c>
    </row>
    <row r="720" spans="1:9" s="1" customFormat="1" ht="47.25" hidden="1" x14ac:dyDescent="0.25">
      <c r="A720" s="31" t="s">
        <v>1274</v>
      </c>
      <c r="B720" s="20" t="s">
        <v>1026</v>
      </c>
      <c r="C720" s="40" t="s">
        <v>280</v>
      </c>
      <c r="D720" s="40" t="s">
        <v>134</v>
      </c>
      <c r="E720" s="72"/>
      <c r="F720" s="72"/>
      <c r="G720" s="10">
        <f>G721</f>
        <v>0</v>
      </c>
      <c r="H720" s="335">
        <f t="shared" si="419"/>
        <v>0</v>
      </c>
      <c r="I720" s="6" t="e">
        <f t="shared" si="385"/>
        <v>#DIV/0!</v>
      </c>
    </row>
    <row r="721" spans="1:9" s="1" customFormat="1" ht="31.5" hidden="1" x14ac:dyDescent="0.25">
      <c r="A721" s="31" t="s">
        <v>288</v>
      </c>
      <c r="B721" s="20" t="s">
        <v>1026</v>
      </c>
      <c r="C721" s="40" t="s">
        <v>280</v>
      </c>
      <c r="D721" s="40" t="s">
        <v>134</v>
      </c>
      <c r="E721" s="40" t="s">
        <v>289</v>
      </c>
      <c r="F721" s="72"/>
      <c r="G721" s="10">
        <f>G722</f>
        <v>0</v>
      </c>
      <c r="H721" s="335">
        <f t="shared" si="419"/>
        <v>0</v>
      </c>
      <c r="I721" s="6" t="e">
        <f t="shared" si="385"/>
        <v>#DIV/0!</v>
      </c>
    </row>
    <row r="722" spans="1:9" s="1" customFormat="1" ht="15.75" hidden="1" x14ac:dyDescent="0.25">
      <c r="A722" s="31" t="s">
        <v>290</v>
      </c>
      <c r="B722" s="20" t="s">
        <v>1026</v>
      </c>
      <c r="C722" s="40" t="s">
        <v>280</v>
      </c>
      <c r="D722" s="40" t="s">
        <v>134</v>
      </c>
      <c r="E722" s="40" t="s">
        <v>291</v>
      </c>
      <c r="F722" s="72"/>
      <c r="G722" s="10">
        <f>'Пр.4 ведом.20'!G618</f>
        <v>0</v>
      </c>
      <c r="H722" s="335">
        <f>'Пр.4 ведом.20'!H618</f>
        <v>0</v>
      </c>
      <c r="I722" s="6" t="e">
        <f t="shared" si="385"/>
        <v>#DIV/0!</v>
      </c>
    </row>
    <row r="723" spans="1:9" s="218" customFormat="1" ht="31.5" hidden="1" x14ac:dyDescent="0.25">
      <c r="A723" s="31" t="s">
        <v>419</v>
      </c>
      <c r="B723" s="20" t="s">
        <v>1026</v>
      </c>
      <c r="C723" s="40" t="s">
        <v>280</v>
      </c>
      <c r="D723" s="40" t="s">
        <v>134</v>
      </c>
      <c r="E723" s="40" t="s">
        <v>291</v>
      </c>
      <c r="F723" s="2">
        <v>906</v>
      </c>
      <c r="G723" s="10">
        <f>G722</f>
        <v>0</v>
      </c>
      <c r="H723" s="335">
        <f t="shared" ref="H723" si="420">H722</f>
        <v>0</v>
      </c>
      <c r="I723" s="6" t="e">
        <f t="shared" ref="I723:I786" si="421">H723/G723*100</f>
        <v>#DIV/0!</v>
      </c>
    </row>
    <row r="724" spans="1:9" s="1" customFormat="1" ht="15.75" x14ac:dyDescent="0.25">
      <c r="A724" s="29" t="s">
        <v>441</v>
      </c>
      <c r="B724" s="40" t="s">
        <v>1025</v>
      </c>
      <c r="C724" s="40" t="s">
        <v>280</v>
      </c>
      <c r="D724" s="40" t="s">
        <v>229</v>
      </c>
      <c r="E724" s="40"/>
      <c r="F724" s="73"/>
      <c r="G724" s="10">
        <f>G725</f>
        <v>150</v>
      </c>
      <c r="H724" s="335">
        <f t="shared" ref="H724:H726" si="422">H725</f>
        <v>150</v>
      </c>
      <c r="I724" s="6">
        <f t="shared" si="421"/>
        <v>100</v>
      </c>
    </row>
    <row r="725" spans="1:9" s="1" customFormat="1" ht="47.25" x14ac:dyDescent="0.25">
      <c r="A725" s="31" t="s">
        <v>1274</v>
      </c>
      <c r="B725" s="20" t="s">
        <v>1026</v>
      </c>
      <c r="C725" s="40" t="s">
        <v>280</v>
      </c>
      <c r="D725" s="40" t="s">
        <v>229</v>
      </c>
      <c r="E725" s="40"/>
      <c r="F725" s="72"/>
      <c r="G725" s="10">
        <f>G726</f>
        <v>150</v>
      </c>
      <c r="H725" s="335">
        <f t="shared" si="422"/>
        <v>150</v>
      </c>
      <c r="I725" s="6">
        <f t="shared" si="421"/>
        <v>100</v>
      </c>
    </row>
    <row r="726" spans="1:9" s="1" customFormat="1" ht="31.5" x14ac:dyDescent="0.25">
      <c r="A726" s="31" t="s">
        <v>288</v>
      </c>
      <c r="B726" s="20" t="s">
        <v>1026</v>
      </c>
      <c r="C726" s="40" t="s">
        <v>280</v>
      </c>
      <c r="D726" s="40" t="s">
        <v>229</v>
      </c>
      <c r="E726" s="40" t="s">
        <v>289</v>
      </c>
      <c r="F726" s="72"/>
      <c r="G726" s="10">
        <f>G727</f>
        <v>150</v>
      </c>
      <c r="H726" s="335">
        <f t="shared" si="422"/>
        <v>150</v>
      </c>
      <c r="I726" s="6">
        <f t="shared" si="421"/>
        <v>100</v>
      </c>
    </row>
    <row r="727" spans="1:9" s="1" customFormat="1" ht="15.75" x14ac:dyDescent="0.25">
      <c r="A727" s="31" t="s">
        <v>290</v>
      </c>
      <c r="B727" s="20" t="s">
        <v>1026</v>
      </c>
      <c r="C727" s="40" t="s">
        <v>280</v>
      </c>
      <c r="D727" s="40" t="s">
        <v>229</v>
      </c>
      <c r="E727" s="40" t="s">
        <v>291</v>
      </c>
      <c r="F727" s="72"/>
      <c r="G727" s="10">
        <f>'Пр.4 ведом.20'!G712</f>
        <v>150</v>
      </c>
      <c r="H727" s="335">
        <f>'Пр.4 ведом.20'!H712</f>
        <v>150</v>
      </c>
      <c r="I727" s="6">
        <f t="shared" si="421"/>
        <v>100</v>
      </c>
    </row>
    <row r="728" spans="1:9" s="1" customFormat="1" ht="31.5" x14ac:dyDescent="0.25">
      <c r="A728" s="31" t="s">
        <v>419</v>
      </c>
      <c r="B728" s="20" t="s">
        <v>1026</v>
      </c>
      <c r="C728" s="40" t="s">
        <v>280</v>
      </c>
      <c r="D728" s="40" t="s">
        <v>229</v>
      </c>
      <c r="E728" s="40" t="s">
        <v>291</v>
      </c>
      <c r="F728" s="2">
        <v>906</v>
      </c>
      <c r="G728" s="10">
        <f>G727</f>
        <v>150</v>
      </c>
      <c r="H728" s="335">
        <f t="shared" ref="H728" si="423">H727</f>
        <v>150</v>
      </c>
      <c r="I728" s="6">
        <f t="shared" si="421"/>
        <v>100</v>
      </c>
    </row>
    <row r="729" spans="1:9" s="218" customFormat="1" ht="15.75" x14ac:dyDescent="0.25">
      <c r="A729" s="31" t="s">
        <v>314</v>
      </c>
      <c r="B729" s="20" t="s">
        <v>1025</v>
      </c>
      <c r="C729" s="40" t="s">
        <v>315</v>
      </c>
      <c r="D729" s="40"/>
      <c r="E729" s="40"/>
      <c r="F729" s="2"/>
      <c r="G729" s="10">
        <f>G730</f>
        <v>100</v>
      </c>
      <c r="H729" s="335">
        <f t="shared" ref="H729:H732" si="424">H730</f>
        <v>0</v>
      </c>
      <c r="I729" s="6">
        <f t="shared" si="421"/>
        <v>0</v>
      </c>
    </row>
    <row r="730" spans="1:9" s="218" customFormat="1" ht="15.75" x14ac:dyDescent="0.25">
      <c r="A730" s="31" t="s">
        <v>316</v>
      </c>
      <c r="B730" s="20" t="s">
        <v>1025</v>
      </c>
      <c r="C730" s="40" t="s">
        <v>315</v>
      </c>
      <c r="D730" s="40" t="s">
        <v>134</v>
      </c>
      <c r="E730" s="40"/>
      <c r="F730" s="2"/>
      <c r="G730" s="10">
        <f>G731</f>
        <v>100</v>
      </c>
      <c r="H730" s="335">
        <f t="shared" si="424"/>
        <v>0</v>
      </c>
      <c r="I730" s="6">
        <f t="shared" si="421"/>
        <v>0</v>
      </c>
    </row>
    <row r="731" spans="1:9" s="218" customFormat="1" ht="47.25" x14ac:dyDescent="0.25">
      <c r="A731" s="31" t="s">
        <v>1273</v>
      </c>
      <c r="B731" s="20" t="s">
        <v>1192</v>
      </c>
      <c r="C731" s="40" t="s">
        <v>315</v>
      </c>
      <c r="D731" s="40" t="s">
        <v>134</v>
      </c>
      <c r="E731" s="40"/>
      <c r="F731" s="2"/>
      <c r="G731" s="10">
        <f>G732</f>
        <v>100</v>
      </c>
      <c r="H731" s="335">
        <f t="shared" si="424"/>
        <v>0</v>
      </c>
      <c r="I731" s="6">
        <f t="shared" si="421"/>
        <v>0</v>
      </c>
    </row>
    <row r="732" spans="1:9" s="218" customFormat="1" ht="31.5" x14ac:dyDescent="0.25">
      <c r="A732" s="25" t="s">
        <v>147</v>
      </c>
      <c r="B732" s="20" t="s">
        <v>1192</v>
      </c>
      <c r="C732" s="40" t="s">
        <v>315</v>
      </c>
      <c r="D732" s="40" t="s">
        <v>134</v>
      </c>
      <c r="E732" s="40" t="s">
        <v>148</v>
      </c>
      <c r="F732" s="2"/>
      <c r="G732" s="10">
        <f>G733</f>
        <v>100</v>
      </c>
      <c r="H732" s="335">
        <f t="shared" si="424"/>
        <v>0</v>
      </c>
      <c r="I732" s="6">
        <f t="shared" si="421"/>
        <v>0</v>
      </c>
    </row>
    <row r="733" spans="1:9" s="218" customFormat="1" ht="31.5" x14ac:dyDescent="0.25">
      <c r="A733" s="25" t="s">
        <v>149</v>
      </c>
      <c r="B733" s="20" t="s">
        <v>1192</v>
      </c>
      <c r="C733" s="40" t="s">
        <v>315</v>
      </c>
      <c r="D733" s="40" t="s">
        <v>134</v>
      </c>
      <c r="E733" s="40" t="s">
        <v>150</v>
      </c>
      <c r="F733" s="2"/>
      <c r="G733" s="10">
        <f>'Пр.4 ведом.20'!G409</f>
        <v>100</v>
      </c>
      <c r="H733" s="335">
        <f>'Пр.4 ведом.20'!H409</f>
        <v>0</v>
      </c>
      <c r="I733" s="6">
        <f t="shared" si="421"/>
        <v>0</v>
      </c>
    </row>
    <row r="734" spans="1:9" s="218" customFormat="1" ht="47.25" x14ac:dyDescent="0.25">
      <c r="A734" s="25" t="s">
        <v>277</v>
      </c>
      <c r="B734" s="20" t="s">
        <v>1192</v>
      </c>
      <c r="C734" s="40" t="s">
        <v>315</v>
      </c>
      <c r="D734" s="40" t="s">
        <v>134</v>
      </c>
      <c r="E734" s="40" t="s">
        <v>150</v>
      </c>
      <c r="F734" s="2">
        <v>903</v>
      </c>
      <c r="G734" s="10">
        <f>G733</f>
        <v>100</v>
      </c>
      <c r="H734" s="335">
        <f t="shared" ref="H734" si="425">H733</f>
        <v>0</v>
      </c>
      <c r="I734" s="6">
        <f t="shared" si="421"/>
        <v>0</v>
      </c>
    </row>
    <row r="735" spans="1:9" s="1" customFormat="1" ht="15.75" hidden="1" customHeight="1" x14ac:dyDescent="0.25">
      <c r="A735" s="73" t="s">
        <v>506</v>
      </c>
      <c r="B735" s="40" t="s">
        <v>1025</v>
      </c>
      <c r="C735" s="40" t="s">
        <v>507</v>
      </c>
      <c r="D735" s="73"/>
      <c r="E735" s="73"/>
      <c r="F735" s="73"/>
      <c r="G735" s="10">
        <f t="shared" ref="G735:H735" si="426">G736</f>
        <v>0</v>
      </c>
      <c r="H735" s="335">
        <f t="shared" si="426"/>
        <v>0</v>
      </c>
      <c r="I735" s="6" t="e">
        <f t="shared" si="421"/>
        <v>#DIV/0!</v>
      </c>
    </row>
    <row r="736" spans="1:9" s="1" customFormat="1" ht="15.75" hidden="1" customHeight="1" x14ac:dyDescent="0.25">
      <c r="A736" s="73" t="s">
        <v>508</v>
      </c>
      <c r="B736" s="40" t="s">
        <v>1025</v>
      </c>
      <c r="C736" s="40" t="s">
        <v>507</v>
      </c>
      <c r="D736" s="40" t="s">
        <v>134</v>
      </c>
      <c r="E736" s="73"/>
      <c r="F736" s="73"/>
      <c r="G736" s="10">
        <f t="shared" ref="G736:H738" si="427">G737</f>
        <v>0</v>
      </c>
      <c r="H736" s="335">
        <f t="shared" si="427"/>
        <v>0</v>
      </c>
      <c r="I736" s="6" t="e">
        <f t="shared" si="421"/>
        <v>#DIV/0!</v>
      </c>
    </row>
    <row r="737" spans="1:9" s="1" customFormat="1" ht="47.25" hidden="1" customHeight="1" x14ac:dyDescent="0.25">
      <c r="A737" s="31" t="s">
        <v>1274</v>
      </c>
      <c r="B737" s="40" t="s">
        <v>1026</v>
      </c>
      <c r="C737" s="40" t="s">
        <v>507</v>
      </c>
      <c r="D737" s="40" t="s">
        <v>134</v>
      </c>
      <c r="E737" s="73"/>
      <c r="F737" s="73"/>
      <c r="G737" s="10">
        <f>G738</f>
        <v>0</v>
      </c>
      <c r="H737" s="335">
        <f t="shared" si="427"/>
        <v>0</v>
      </c>
      <c r="I737" s="6" t="e">
        <f t="shared" si="421"/>
        <v>#DIV/0!</v>
      </c>
    </row>
    <row r="738" spans="1:9" s="1" customFormat="1" ht="31.7" hidden="1" customHeight="1" x14ac:dyDescent="0.25">
      <c r="A738" s="25" t="s">
        <v>288</v>
      </c>
      <c r="B738" s="40" t="s">
        <v>1026</v>
      </c>
      <c r="C738" s="40" t="s">
        <v>507</v>
      </c>
      <c r="D738" s="40" t="s">
        <v>134</v>
      </c>
      <c r="E738" s="40" t="s">
        <v>289</v>
      </c>
      <c r="F738" s="73"/>
      <c r="G738" s="10">
        <f>G739</f>
        <v>0</v>
      </c>
      <c r="H738" s="335">
        <f t="shared" si="427"/>
        <v>0</v>
      </c>
      <c r="I738" s="6" t="e">
        <f t="shared" si="421"/>
        <v>#DIV/0!</v>
      </c>
    </row>
    <row r="739" spans="1:9" s="1" customFormat="1" ht="15.75" hidden="1" customHeight="1" x14ac:dyDescent="0.25">
      <c r="A739" s="25" t="s">
        <v>290</v>
      </c>
      <c r="B739" s="40" t="s">
        <v>1026</v>
      </c>
      <c r="C739" s="40" t="s">
        <v>507</v>
      </c>
      <c r="D739" s="40" t="s">
        <v>134</v>
      </c>
      <c r="E739" s="40" t="s">
        <v>291</v>
      </c>
      <c r="F739" s="73"/>
      <c r="G739" s="10"/>
      <c r="H739" s="335"/>
      <c r="I739" s="6" t="e">
        <f t="shared" si="421"/>
        <v>#DIV/0!</v>
      </c>
    </row>
    <row r="740" spans="1:9" s="1" customFormat="1" ht="31.7" hidden="1" customHeight="1" x14ac:dyDescent="0.25">
      <c r="A740" s="45" t="s">
        <v>496</v>
      </c>
      <c r="B740" s="40" t="s">
        <v>1026</v>
      </c>
      <c r="C740" s="40" t="s">
        <v>507</v>
      </c>
      <c r="D740" s="40" t="s">
        <v>134</v>
      </c>
      <c r="E740" s="40" t="s">
        <v>291</v>
      </c>
      <c r="F740" s="2">
        <v>907</v>
      </c>
      <c r="G740" s="10">
        <f>G739</f>
        <v>0</v>
      </c>
      <c r="H740" s="335">
        <f t="shared" ref="H740" si="428">H739</f>
        <v>0</v>
      </c>
      <c r="I740" s="6" t="e">
        <f t="shared" si="421"/>
        <v>#DIV/0!</v>
      </c>
    </row>
    <row r="741" spans="1:9" ht="47.25" x14ac:dyDescent="0.25">
      <c r="A741" s="41" t="s">
        <v>558</v>
      </c>
      <c r="B741" s="7" t="s">
        <v>559</v>
      </c>
      <c r="C741" s="2"/>
      <c r="D741" s="2"/>
      <c r="E741" s="2"/>
      <c r="F741" s="2"/>
      <c r="G741" s="59">
        <f t="shared" ref="G741:H741" si="429">G742+G764</f>
        <v>3563.2000000000003</v>
      </c>
      <c r="H741" s="347">
        <f t="shared" si="429"/>
        <v>807.69</v>
      </c>
      <c r="I741" s="4">
        <f t="shared" si="421"/>
        <v>22.667546026044004</v>
      </c>
    </row>
    <row r="742" spans="1:9" ht="47.25" x14ac:dyDescent="0.25">
      <c r="A742" s="41" t="s">
        <v>560</v>
      </c>
      <c r="B742" s="7" t="s">
        <v>561</v>
      </c>
      <c r="C742" s="7"/>
      <c r="D742" s="7"/>
      <c r="E742" s="3"/>
      <c r="F742" s="3"/>
      <c r="G742" s="59">
        <f t="shared" ref="G742:H742" si="430">G744</f>
        <v>1143.4000000000001</v>
      </c>
      <c r="H742" s="347">
        <f t="shared" si="430"/>
        <v>489.69</v>
      </c>
      <c r="I742" s="4">
        <f t="shared" si="421"/>
        <v>42.827531922336888</v>
      </c>
    </row>
    <row r="743" spans="1:9" s="217" customFormat="1" ht="31.5" x14ac:dyDescent="0.25">
      <c r="A743" s="23" t="s">
        <v>1122</v>
      </c>
      <c r="B743" s="7" t="s">
        <v>1120</v>
      </c>
      <c r="C743" s="7"/>
      <c r="D743" s="7"/>
      <c r="E743" s="3"/>
      <c r="F743" s="3"/>
      <c r="G743" s="59">
        <f>G744</f>
        <v>1143.4000000000001</v>
      </c>
      <c r="H743" s="347">
        <f t="shared" ref="H743" si="431">H744</f>
        <v>489.69</v>
      </c>
      <c r="I743" s="4">
        <f t="shared" si="421"/>
        <v>42.827531922336888</v>
      </c>
    </row>
    <row r="744" spans="1:9" ht="15.75" x14ac:dyDescent="0.25">
      <c r="A744" s="73" t="s">
        <v>406</v>
      </c>
      <c r="B744" s="40" t="s">
        <v>1120</v>
      </c>
      <c r="C744" s="40" t="s">
        <v>250</v>
      </c>
      <c r="D744" s="40"/>
      <c r="E744" s="2"/>
      <c r="F744" s="2"/>
      <c r="G744" s="10">
        <f t="shared" ref="G744:H744" si="432">G745</f>
        <v>1143.4000000000001</v>
      </c>
      <c r="H744" s="335">
        <f t="shared" si="432"/>
        <v>489.69</v>
      </c>
      <c r="I744" s="6">
        <f t="shared" si="421"/>
        <v>42.827531922336888</v>
      </c>
    </row>
    <row r="745" spans="1:9" ht="15.75" x14ac:dyDescent="0.25">
      <c r="A745" s="73" t="s">
        <v>557</v>
      </c>
      <c r="B745" s="40" t="s">
        <v>1120</v>
      </c>
      <c r="C745" s="40" t="s">
        <v>250</v>
      </c>
      <c r="D745" s="40" t="s">
        <v>231</v>
      </c>
      <c r="E745" s="2"/>
      <c r="F745" s="2"/>
      <c r="G745" s="10">
        <f t="shared" ref="G745:H745" si="433">G746+G750+G760</f>
        <v>1143.4000000000001</v>
      </c>
      <c r="H745" s="335">
        <f t="shared" si="433"/>
        <v>489.69</v>
      </c>
      <c r="I745" s="6">
        <f t="shared" si="421"/>
        <v>42.827531922336888</v>
      </c>
    </row>
    <row r="746" spans="1:9" ht="15.75" customHeight="1" x14ac:dyDescent="0.25">
      <c r="A746" s="25" t="s">
        <v>562</v>
      </c>
      <c r="B746" s="20" t="s">
        <v>1121</v>
      </c>
      <c r="C746" s="40" t="s">
        <v>250</v>
      </c>
      <c r="D746" s="40" t="s">
        <v>231</v>
      </c>
      <c r="E746" s="2"/>
      <c r="F746" s="2"/>
      <c r="G746" s="10">
        <f t="shared" ref="G746:H747" si="434">G747</f>
        <v>90</v>
      </c>
      <c r="H746" s="335">
        <f t="shared" si="434"/>
        <v>45</v>
      </c>
      <c r="I746" s="6">
        <f t="shared" si="421"/>
        <v>50</v>
      </c>
    </row>
    <row r="747" spans="1:9" ht="41.25" customHeight="1" x14ac:dyDescent="0.25">
      <c r="A747" s="25" t="s">
        <v>147</v>
      </c>
      <c r="B747" s="20" t="s">
        <v>1121</v>
      </c>
      <c r="C747" s="40" t="s">
        <v>250</v>
      </c>
      <c r="D747" s="40" t="s">
        <v>231</v>
      </c>
      <c r="E747" s="2">
        <v>200</v>
      </c>
      <c r="F747" s="2"/>
      <c r="G747" s="10">
        <f t="shared" si="434"/>
        <v>90</v>
      </c>
      <c r="H747" s="335">
        <f t="shared" si="434"/>
        <v>45</v>
      </c>
      <c r="I747" s="6">
        <f t="shared" si="421"/>
        <v>50</v>
      </c>
    </row>
    <row r="748" spans="1:9" ht="31.7" customHeight="1" x14ac:dyDescent="0.25">
      <c r="A748" s="25" t="s">
        <v>149</v>
      </c>
      <c r="B748" s="20" t="s">
        <v>1121</v>
      </c>
      <c r="C748" s="40" t="s">
        <v>250</v>
      </c>
      <c r="D748" s="40" t="s">
        <v>231</v>
      </c>
      <c r="E748" s="2">
        <v>240</v>
      </c>
      <c r="F748" s="2"/>
      <c r="G748" s="10">
        <f>'Пр.4 ведом.20'!G1036</f>
        <v>90</v>
      </c>
      <c r="H748" s="335">
        <f>'Пр.4 ведом.20'!H1036</f>
        <v>45</v>
      </c>
      <c r="I748" s="6">
        <f t="shared" si="421"/>
        <v>50</v>
      </c>
    </row>
    <row r="749" spans="1:9" s="217" customFormat="1" ht="31.7" customHeight="1" x14ac:dyDescent="0.25">
      <c r="A749" s="45" t="s">
        <v>640</v>
      </c>
      <c r="B749" s="20" t="s">
        <v>1121</v>
      </c>
      <c r="C749" s="40" t="s">
        <v>250</v>
      </c>
      <c r="D749" s="40" t="s">
        <v>231</v>
      </c>
      <c r="E749" s="2">
        <v>240</v>
      </c>
      <c r="F749" s="2">
        <v>908</v>
      </c>
      <c r="G749" s="10">
        <f>G748</f>
        <v>90</v>
      </c>
      <c r="H749" s="335">
        <f t="shared" ref="H749" si="435">H748</f>
        <v>45</v>
      </c>
      <c r="I749" s="6">
        <f t="shared" si="421"/>
        <v>50</v>
      </c>
    </row>
    <row r="750" spans="1:9" ht="17.45" customHeight="1" x14ac:dyDescent="0.25">
      <c r="A750" s="25" t="s">
        <v>564</v>
      </c>
      <c r="B750" s="20" t="s">
        <v>1123</v>
      </c>
      <c r="C750" s="40" t="s">
        <v>250</v>
      </c>
      <c r="D750" s="40" t="s">
        <v>231</v>
      </c>
      <c r="E750" s="2"/>
      <c r="F750" s="2"/>
      <c r="G750" s="10">
        <f>G751+G754+G757</f>
        <v>1037.4000000000001</v>
      </c>
      <c r="H750" s="335">
        <f t="shared" ref="H750" si="436">H751+H754+H757</f>
        <v>444.69</v>
      </c>
      <c r="I750" s="6">
        <f t="shared" si="421"/>
        <v>42.865818392134173</v>
      </c>
    </row>
    <row r="751" spans="1:9" ht="31.5" x14ac:dyDescent="0.25">
      <c r="A751" s="25" t="s">
        <v>147</v>
      </c>
      <c r="B751" s="20" t="s">
        <v>1123</v>
      </c>
      <c r="C751" s="40" t="s">
        <v>250</v>
      </c>
      <c r="D751" s="40" t="s">
        <v>231</v>
      </c>
      <c r="E751" s="2">
        <v>200</v>
      </c>
      <c r="F751" s="2"/>
      <c r="G751" s="10">
        <f t="shared" ref="G751:H751" si="437">G752</f>
        <v>1037.4000000000001</v>
      </c>
      <c r="H751" s="335">
        <f t="shared" si="437"/>
        <v>444.69</v>
      </c>
      <c r="I751" s="6">
        <f t="shared" si="421"/>
        <v>42.865818392134173</v>
      </c>
    </row>
    <row r="752" spans="1:9" ht="31.5" x14ac:dyDescent="0.25">
      <c r="A752" s="25" t="s">
        <v>149</v>
      </c>
      <c r="B752" s="20" t="s">
        <v>1123</v>
      </c>
      <c r="C752" s="40" t="s">
        <v>250</v>
      </c>
      <c r="D752" s="40" t="s">
        <v>231</v>
      </c>
      <c r="E752" s="2">
        <v>240</v>
      </c>
      <c r="F752" s="2"/>
      <c r="G752" s="10">
        <f>'Пр.4 ведом.20'!G1039</f>
        <v>1037.4000000000001</v>
      </c>
      <c r="H752" s="335">
        <f>'Пр.4 ведом.20'!H1039</f>
        <v>444.69</v>
      </c>
      <c r="I752" s="6">
        <f t="shared" si="421"/>
        <v>42.865818392134173</v>
      </c>
    </row>
    <row r="753" spans="1:9" s="217" customFormat="1" ht="31.5" x14ac:dyDescent="0.25">
      <c r="A753" s="45" t="s">
        <v>640</v>
      </c>
      <c r="B753" s="20" t="s">
        <v>1123</v>
      </c>
      <c r="C753" s="40" t="s">
        <v>250</v>
      </c>
      <c r="D753" s="40" t="s">
        <v>231</v>
      </c>
      <c r="E753" s="2">
        <v>240</v>
      </c>
      <c r="F753" s="2">
        <v>908</v>
      </c>
      <c r="G753" s="10">
        <f>G752</f>
        <v>1037.4000000000001</v>
      </c>
      <c r="H753" s="335">
        <f t="shared" ref="H753" si="438">H752</f>
        <v>444.69</v>
      </c>
      <c r="I753" s="6">
        <f t="shared" si="421"/>
        <v>42.865818392134173</v>
      </c>
    </row>
    <row r="754" spans="1:9" ht="15.75" hidden="1" x14ac:dyDescent="0.25">
      <c r="A754" s="25" t="s">
        <v>151</v>
      </c>
      <c r="B754" s="20" t="s">
        <v>1123</v>
      </c>
      <c r="C754" s="40" t="s">
        <v>250</v>
      </c>
      <c r="D754" s="40" t="s">
        <v>231</v>
      </c>
      <c r="E754" s="2">
        <v>800</v>
      </c>
      <c r="F754" s="2"/>
      <c r="G754" s="10">
        <f>G755</f>
        <v>0</v>
      </c>
      <c r="H754" s="335">
        <f t="shared" ref="H754" si="439">H755</f>
        <v>0</v>
      </c>
      <c r="I754" s="6" t="e">
        <f t="shared" si="421"/>
        <v>#DIV/0!</v>
      </c>
    </row>
    <row r="755" spans="1:9" s="217" customFormat="1" ht="47.25" hidden="1" x14ac:dyDescent="0.25">
      <c r="A755" s="25" t="s">
        <v>882</v>
      </c>
      <c r="B755" s="20" t="s">
        <v>1123</v>
      </c>
      <c r="C755" s="40" t="s">
        <v>250</v>
      </c>
      <c r="D755" s="40" t="s">
        <v>231</v>
      </c>
      <c r="E755" s="2">
        <v>830</v>
      </c>
      <c r="F755" s="2"/>
      <c r="G755" s="10">
        <f>'Пр.3 Рд,пр, ЦС,ВР 20'!F433</f>
        <v>0</v>
      </c>
      <c r="H755" s="335">
        <f>'Пр.3 Рд,пр, ЦС,ВР 20'!G433</f>
        <v>0</v>
      </c>
      <c r="I755" s="6" t="e">
        <f t="shared" si="421"/>
        <v>#DIV/0!</v>
      </c>
    </row>
    <row r="756" spans="1:9" s="217" customFormat="1" ht="31.5" hidden="1" x14ac:dyDescent="0.25">
      <c r="A756" s="45" t="s">
        <v>640</v>
      </c>
      <c r="B756" s="20" t="s">
        <v>1123</v>
      </c>
      <c r="C756" s="40" t="s">
        <v>250</v>
      </c>
      <c r="D756" s="40" t="s">
        <v>231</v>
      </c>
      <c r="E756" s="2">
        <v>830</v>
      </c>
      <c r="F756" s="2">
        <v>908</v>
      </c>
      <c r="G756" s="10">
        <f>G755</f>
        <v>0</v>
      </c>
      <c r="H756" s="335">
        <f t="shared" ref="H756" si="440">H755</f>
        <v>0</v>
      </c>
      <c r="I756" s="6" t="e">
        <f t="shared" si="421"/>
        <v>#DIV/0!</v>
      </c>
    </row>
    <row r="757" spans="1:9" s="217" customFormat="1" ht="15.75" hidden="1" x14ac:dyDescent="0.25">
      <c r="A757" s="25" t="s">
        <v>151</v>
      </c>
      <c r="B757" s="20" t="s">
        <v>1123</v>
      </c>
      <c r="C757" s="40" t="s">
        <v>250</v>
      </c>
      <c r="D757" s="40" t="s">
        <v>231</v>
      </c>
      <c r="E757" s="2">
        <v>800</v>
      </c>
      <c r="F757" s="2"/>
      <c r="G757" s="10">
        <f>G758</f>
        <v>0</v>
      </c>
      <c r="H757" s="335">
        <f t="shared" ref="H757" si="441">H758</f>
        <v>0</v>
      </c>
      <c r="I757" s="6" t="e">
        <f t="shared" si="421"/>
        <v>#DIV/0!</v>
      </c>
    </row>
    <row r="758" spans="1:9" ht="15.75" hidden="1" x14ac:dyDescent="0.25">
      <c r="A758" s="25" t="s">
        <v>1270</v>
      </c>
      <c r="B758" s="20" t="s">
        <v>1123</v>
      </c>
      <c r="C758" s="40" t="s">
        <v>250</v>
      </c>
      <c r="D758" s="40" t="s">
        <v>231</v>
      </c>
      <c r="E758" s="2">
        <v>850</v>
      </c>
      <c r="F758" s="2"/>
      <c r="G758" s="10">
        <f>'Пр.3 Рд,пр, ЦС,ВР 20'!F434</f>
        <v>0</v>
      </c>
      <c r="H758" s="335">
        <f>'Пр.3 Рд,пр, ЦС,ВР 20'!G434</f>
        <v>0</v>
      </c>
      <c r="I758" s="6" t="e">
        <f t="shared" si="421"/>
        <v>#DIV/0!</v>
      </c>
    </row>
    <row r="759" spans="1:9" s="217" customFormat="1" ht="31.5" hidden="1" x14ac:dyDescent="0.25">
      <c r="A759" s="45" t="s">
        <v>640</v>
      </c>
      <c r="B759" s="20" t="s">
        <v>1123</v>
      </c>
      <c r="C759" s="40" t="s">
        <v>250</v>
      </c>
      <c r="D759" s="40" t="s">
        <v>231</v>
      </c>
      <c r="E759" s="2">
        <v>850</v>
      </c>
      <c r="F759" s="2">
        <v>908</v>
      </c>
      <c r="G759" s="10">
        <f>G758</f>
        <v>0</v>
      </c>
      <c r="H759" s="335">
        <f t="shared" ref="H759" si="442">H758</f>
        <v>0</v>
      </c>
      <c r="I759" s="6" t="e">
        <f t="shared" si="421"/>
        <v>#DIV/0!</v>
      </c>
    </row>
    <row r="760" spans="1:9" ht="15.75" x14ac:dyDescent="0.25">
      <c r="A760" s="25" t="s">
        <v>566</v>
      </c>
      <c r="B760" s="20" t="s">
        <v>1124</v>
      </c>
      <c r="C760" s="40" t="s">
        <v>250</v>
      </c>
      <c r="D760" s="40" t="s">
        <v>231</v>
      </c>
      <c r="E760" s="2"/>
      <c r="F760" s="2"/>
      <c r="G760" s="10">
        <f t="shared" ref="G760:H761" si="443">G761</f>
        <v>16</v>
      </c>
      <c r="H760" s="335">
        <f t="shared" si="443"/>
        <v>0</v>
      </c>
      <c r="I760" s="6">
        <f t="shared" si="421"/>
        <v>0</v>
      </c>
    </row>
    <row r="761" spans="1:9" ht="31.5" x14ac:dyDescent="0.25">
      <c r="A761" s="25" t="s">
        <v>147</v>
      </c>
      <c r="B761" s="20" t="s">
        <v>1124</v>
      </c>
      <c r="C761" s="40" t="s">
        <v>250</v>
      </c>
      <c r="D761" s="40" t="s">
        <v>231</v>
      </c>
      <c r="E761" s="2">
        <v>200</v>
      </c>
      <c r="F761" s="2"/>
      <c r="G761" s="10">
        <f>G762</f>
        <v>16</v>
      </c>
      <c r="H761" s="335">
        <f t="shared" si="443"/>
        <v>0</v>
      </c>
      <c r="I761" s="6">
        <f t="shared" si="421"/>
        <v>0</v>
      </c>
    </row>
    <row r="762" spans="1:9" ht="31.5" x14ac:dyDescent="0.25">
      <c r="A762" s="25" t="s">
        <v>149</v>
      </c>
      <c r="B762" s="20" t="s">
        <v>1124</v>
      </c>
      <c r="C762" s="40" t="s">
        <v>250</v>
      </c>
      <c r="D762" s="40" t="s">
        <v>231</v>
      </c>
      <c r="E762" s="2">
        <v>240</v>
      </c>
      <c r="F762" s="2"/>
      <c r="G762" s="10">
        <f>'Пр.4 ведом.20'!G1045</f>
        <v>16</v>
      </c>
      <c r="H762" s="335">
        <f>'Пр.4 ведом.20'!H1045</f>
        <v>0</v>
      </c>
      <c r="I762" s="6">
        <f t="shared" si="421"/>
        <v>0</v>
      </c>
    </row>
    <row r="763" spans="1:9" ht="31.5" x14ac:dyDescent="0.25">
      <c r="A763" s="45" t="s">
        <v>640</v>
      </c>
      <c r="B763" s="20" t="s">
        <v>1124</v>
      </c>
      <c r="C763" s="40" t="s">
        <v>250</v>
      </c>
      <c r="D763" s="40" t="s">
        <v>231</v>
      </c>
      <c r="E763" s="2">
        <v>240</v>
      </c>
      <c r="F763" s="2">
        <v>908</v>
      </c>
      <c r="G763" s="10">
        <f>G762</f>
        <v>16</v>
      </c>
      <c r="H763" s="335">
        <f t="shared" ref="H763" si="444">H762</f>
        <v>0</v>
      </c>
      <c r="I763" s="6">
        <f t="shared" si="421"/>
        <v>0</v>
      </c>
    </row>
    <row r="764" spans="1:9" ht="47.25" x14ac:dyDescent="0.25">
      <c r="A764" s="23" t="s">
        <v>568</v>
      </c>
      <c r="B764" s="7" t="s">
        <v>569</v>
      </c>
      <c r="C764" s="7"/>
      <c r="D764" s="7"/>
      <c r="E764" s="3"/>
      <c r="F764" s="3"/>
      <c r="G764" s="59">
        <f>G766+G787</f>
        <v>2419.8000000000002</v>
      </c>
      <c r="H764" s="347">
        <f t="shared" ref="H764" si="445">H766+H787</f>
        <v>318</v>
      </c>
      <c r="I764" s="4">
        <f t="shared" si="421"/>
        <v>13.141581948921397</v>
      </c>
    </row>
    <row r="765" spans="1:9" s="217" customFormat="1" ht="31.5" x14ac:dyDescent="0.25">
      <c r="A765" s="23" t="s">
        <v>1140</v>
      </c>
      <c r="B765" s="7" t="s">
        <v>1125</v>
      </c>
      <c r="C765" s="7"/>
      <c r="D765" s="7"/>
      <c r="E765" s="3"/>
      <c r="F765" s="3"/>
      <c r="G765" s="59">
        <f>G766</f>
        <v>505.3</v>
      </c>
      <c r="H765" s="347">
        <f t="shared" ref="H765" si="446">H766</f>
        <v>318</v>
      </c>
      <c r="I765" s="4">
        <f t="shared" si="421"/>
        <v>62.9329111418959</v>
      </c>
    </row>
    <row r="766" spans="1:9" ht="15.75" x14ac:dyDescent="0.25">
      <c r="A766" s="73" t="s">
        <v>406</v>
      </c>
      <c r="B766" s="40" t="s">
        <v>1125</v>
      </c>
      <c r="C766" s="40" t="s">
        <v>250</v>
      </c>
      <c r="D766" s="40"/>
      <c r="E766" s="2"/>
      <c r="F766" s="2"/>
      <c r="G766" s="10">
        <f t="shared" ref="G766:H766" si="447">G767</f>
        <v>505.3</v>
      </c>
      <c r="H766" s="335">
        <f t="shared" si="447"/>
        <v>318</v>
      </c>
      <c r="I766" s="6">
        <f t="shared" si="421"/>
        <v>62.9329111418959</v>
      </c>
    </row>
    <row r="767" spans="1:9" ht="15.75" x14ac:dyDescent="0.25">
      <c r="A767" s="73" t="s">
        <v>557</v>
      </c>
      <c r="B767" s="40" t="s">
        <v>1125</v>
      </c>
      <c r="C767" s="40" t="s">
        <v>250</v>
      </c>
      <c r="D767" s="40" t="s">
        <v>231</v>
      </c>
      <c r="E767" s="2"/>
      <c r="F767" s="2"/>
      <c r="G767" s="10">
        <f>G783+G768+G772+G779</f>
        <v>505.3</v>
      </c>
      <c r="H767" s="335">
        <f t="shared" ref="H767" si="448">H783+H768+H772+H779</f>
        <v>318</v>
      </c>
      <c r="I767" s="6">
        <f t="shared" si="421"/>
        <v>62.9329111418959</v>
      </c>
    </row>
    <row r="768" spans="1:9" ht="15.75" x14ac:dyDescent="0.25">
      <c r="A768" s="25" t="s">
        <v>571</v>
      </c>
      <c r="B768" s="20" t="s">
        <v>1127</v>
      </c>
      <c r="C768" s="40" t="s">
        <v>250</v>
      </c>
      <c r="D768" s="40" t="s">
        <v>231</v>
      </c>
      <c r="E768" s="2"/>
      <c r="F768" s="2"/>
      <c r="G768" s="10">
        <f t="shared" ref="G768:H769" si="449">G769</f>
        <v>4</v>
      </c>
      <c r="H768" s="335">
        <f t="shared" si="449"/>
        <v>0</v>
      </c>
      <c r="I768" s="6">
        <f t="shared" si="421"/>
        <v>0</v>
      </c>
    </row>
    <row r="769" spans="1:9" ht="31.5" x14ac:dyDescent="0.25">
      <c r="A769" s="25" t="s">
        <v>147</v>
      </c>
      <c r="B769" s="20" t="s">
        <v>1127</v>
      </c>
      <c r="C769" s="40" t="s">
        <v>250</v>
      </c>
      <c r="D769" s="40" t="s">
        <v>231</v>
      </c>
      <c r="E769" s="2">
        <v>200</v>
      </c>
      <c r="F769" s="2"/>
      <c r="G769" s="10">
        <f t="shared" si="449"/>
        <v>4</v>
      </c>
      <c r="H769" s="335">
        <f t="shared" si="449"/>
        <v>0</v>
      </c>
      <c r="I769" s="6">
        <f t="shared" si="421"/>
        <v>0</v>
      </c>
    </row>
    <row r="770" spans="1:9" ht="31.5" x14ac:dyDescent="0.25">
      <c r="A770" s="25" t="s">
        <v>149</v>
      </c>
      <c r="B770" s="20" t="s">
        <v>1127</v>
      </c>
      <c r="C770" s="40" t="s">
        <v>250</v>
      </c>
      <c r="D770" s="40" t="s">
        <v>231</v>
      </c>
      <c r="E770" s="2">
        <v>240</v>
      </c>
      <c r="F770" s="2"/>
      <c r="G770" s="10">
        <f>'Пр.4 ведом.20'!G1050</f>
        <v>4</v>
      </c>
      <c r="H770" s="335">
        <f>'Пр.4 ведом.20'!H1050</f>
        <v>0</v>
      </c>
      <c r="I770" s="6">
        <f t="shared" si="421"/>
        <v>0</v>
      </c>
    </row>
    <row r="771" spans="1:9" s="217" customFormat="1" ht="31.5" x14ac:dyDescent="0.25">
      <c r="A771" s="45" t="s">
        <v>640</v>
      </c>
      <c r="B771" s="20" t="s">
        <v>1127</v>
      </c>
      <c r="C771" s="40" t="s">
        <v>250</v>
      </c>
      <c r="D771" s="40" t="s">
        <v>231</v>
      </c>
      <c r="E771" s="2">
        <v>240</v>
      </c>
      <c r="F771" s="2">
        <v>908</v>
      </c>
      <c r="G771" s="10">
        <f>G770</f>
        <v>4</v>
      </c>
      <c r="H771" s="335">
        <f t="shared" ref="H771" si="450">H770</f>
        <v>0</v>
      </c>
      <c r="I771" s="6">
        <f t="shared" si="421"/>
        <v>0</v>
      </c>
    </row>
    <row r="772" spans="1:9" ht="47.25" x14ac:dyDescent="0.25">
      <c r="A772" s="45" t="s">
        <v>573</v>
      </c>
      <c r="B772" s="20" t="s">
        <v>1128</v>
      </c>
      <c r="C772" s="40" t="s">
        <v>250</v>
      </c>
      <c r="D772" s="40" t="s">
        <v>231</v>
      </c>
      <c r="E772" s="2"/>
      <c r="F772" s="2"/>
      <c r="G772" s="10">
        <f>G773+G776</f>
        <v>490.3</v>
      </c>
      <c r="H772" s="335">
        <f t="shared" ref="H772" si="451">H773+H776</f>
        <v>318</v>
      </c>
      <c r="I772" s="6">
        <f t="shared" si="421"/>
        <v>64.858250050989184</v>
      </c>
    </row>
    <row r="773" spans="1:9" ht="31.5" x14ac:dyDescent="0.25">
      <c r="A773" s="25" t="s">
        <v>147</v>
      </c>
      <c r="B773" s="20" t="s">
        <v>1128</v>
      </c>
      <c r="C773" s="40" t="s">
        <v>250</v>
      </c>
      <c r="D773" s="40" t="s">
        <v>231</v>
      </c>
      <c r="E773" s="2">
        <v>200</v>
      </c>
      <c r="F773" s="2"/>
      <c r="G773" s="10">
        <f t="shared" ref="G773:H773" si="452">G774</f>
        <v>490.3</v>
      </c>
      <c r="H773" s="335">
        <f t="shared" si="452"/>
        <v>318</v>
      </c>
      <c r="I773" s="6">
        <f t="shared" si="421"/>
        <v>64.858250050989184</v>
      </c>
    </row>
    <row r="774" spans="1:9" ht="31.5" x14ac:dyDescent="0.25">
      <c r="A774" s="25" t="s">
        <v>149</v>
      </c>
      <c r="B774" s="20" t="s">
        <v>1128</v>
      </c>
      <c r="C774" s="40" t="s">
        <v>250</v>
      </c>
      <c r="D774" s="40" t="s">
        <v>231</v>
      </c>
      <c r="E774" s="2">
        <v>240</v>
      </c>
      <c r="F774" s="2"/>
      <c r="G774" s="10">
        <f>'Пр.4 ведом.20'!G1053</f>
        <v>490.3</v>
      </c>
      <c r="H774" s="335">
        <f>'Пр.4 ведом.20'!H1053</f>
        <v>318</v>
      </c>
      <c r="I774" s="6">
        <f t="shared" si="421"/>
        <v>64.858250050989184</v>
      </c>
    </row>
    <row r="775" spans="1:9" s="217" customFormat="1" ht="31.5" x14ac:dyDescent="0.25">
      <c r="A775" s="45" t="s">
        <v>640</v>
      </c>
      <c r="B775" s="20" t="s">
        <v>1128</v>
      </c>
      <c r="C775" s="40" t="s">
        <v>250</v>
      </c>
      <c r="D775" s="40" t="s">
        <v>231</v>
      </c>
      <c r="E775" s="2">
        <v>240</v>
      </c>
      <c r="F775" s="2">
        <v>908</v>
      </c>
      <c r="G775" s="10">
        <f>G774</f>
        <v>490.3</v>
      </c>
      <c r="H775" s="335">
        <f t="shared" ref="H775" si="453">H774</f>
        <v>318</v>
      </c>
      <c r="I775" s="6">
        <f t="shared" si="421"/>
        <v>64.858250050989184</v>
      </c>
    </row>
    <row r="776" spans="1:9" s="217" customFormat="1" ht="15.75" hidden="1" x14ac:dyDescent="0.25">
      <c r="A776" s="29" t="s">
        <v>151</v>
      </c>
      <c r="B776" s="20" t="s">
        <v>1128</v>
      </c>
      <c r="C776" s="40" t="s">
        <v>250</v>
      </c>
      <c r="D776" s="40" t="s">
        <v>231</v>
      </c>
      <c r="E776" s="2">
        <v>800</v>
      </c>
      <c r="F776" s="2"/>
      <c r="G776" s="10">
        <f>G777</f>
        <v>0</v>
      </c>
      <c r="H776" s="335">
        <f t="shared" ref="H776" si="454">H777</f>
        <v>0</v>
      </c>
      <c r="I776" s="6" t="e">
        <f t="shared" si="421"/>
        <v>#DIV/0!</v>
      </c>
    </row>
    <row r="777" spans="1:9" s="217" customFormat="1" ht="15.75" hidden="1" x14ac:dyDescent="0.25">
      <c r="A777" s="25" t="s">
        <v>727</v>
      </c>
      <c r="B777" s="20" t="s">
        <v>1128</v>
      </c>
      <c r="C777" s="40" t="s">
        <v>250</v>
      </c>
      <c r="D777" s="40" t="s">
        <v>231</v>
      </c>
      <c r="E777" s="2">
        <v>850</v>
      </c>
      <c r="F777" s="2"/>
      <c r="G777" s="10">
        <f>'Пр.4 ведом.20'!G1055</f>
        <v>0</v>
      </c>
      <c r="H777" s="335">
        <f>'Пр.4 ведом.20'!H1055</f>
        <v>0</v>
      </c>
      <c r="I777" s="6" t="e">
        <f t="shared" si="421"/>
        <v>#DIV/0!</v>
      </c>
    </row>
    <row r="778" spans="1:9" s="217" customFormat="1" ht="31.5" hidden="1" x14ac:dyDescent="0.25">
      <c r="A778" s="45" t="s">
        <v>640</v>
      </c>
      <c r="B778" s="20" t="s">
        <v>1128</v>
      </c>
      <c r="C778" s="40" t="s">
        <v>250</v>
      </c>
      <c r="D778" s="40" t="s">
        <v>231</v>
      </c>
      <c r="E778" s="2">
        <v>850</v>
      </c>
      <c r="F778" s="2">
        <v>908</v>
      </c>
      <c r="G778" s="10">
        <f>G777</f>
        <v>0</v>
      </c>
      <c r="H778" s="335">
        <f t="shared" ref="H778" si="455">H777</f>
        <v>0</v>
      </c>
      <c r="I778" s="6" t="e">
        <f t="shared" si="421"/>
        <v>#DIV/0!</v>
      </c>
    </row>
    <row r="779" spans="1:9" ht="15.75" hidden="1" customHeight="1" x14ac:dyDescent="0.25">
      <c r="A779" s="45" t="s">
        <v>575</v>
      </c>
      <c r="B779" s="20" t="s">
        <v>1129</v>
      </c>
      <c r="C779" s="40" t="s">
        <v>250</v>
      </c>
      <c r="D779" s="40" t="s">
        <v>231</v>
      </c>
      <c r="E779" s="2"/>
      <c r="F779" s="2"/>
      <c r="G779" s="10">
        <f t="shared" ref="G779:H780" si="456">G780</f>
        <v>0</v>
      </c>
      <c r="H779" s="335">
        <f t="shared" si="456"/>
        <v>0</v>
      </c>
      <c r="I779" s="6" t="e">
        <f t="shared" si="421"/>
        <v>#DIV/0!</v>
      </c>
    </row>
    <row r="780" spans="1:9" ht="31.7" hidden="1" customHeight="1" x14ac:dyDescent="0.25">
      <c r="A780" s="25" t="s">
        <v>147</v>
      </c>
      <c r="B780" s="20" t="s">
        <v>1129</v>
      </c>
      <c r="C780" s="40" t="s">
        <v>250</v>
      </c>
      <c r="D780" s="40" t="s">
        <v>231</v>
      </c>
      <c r="E780" s="2">
        <v>200</v>
      </c>
      <c r="F780" s="2"/>
      <c r="G780" s="10">
        <f t="shared" si="456"/>
        <v>0</v>
      </c>
      <c r="H780" s="335">
        <f t="shared" si="456"/>
        <v>0</v>
      </c>
      <c r="I780" s="6" t="e">
        <f t="shared" si="421"/>
        <v>#DIV/0!</v>
      </c>
    </row>
    <row r="781" spans="1:9" ht="31.7" hidden="1" customHeight="1" x14ac:dyDescent="0.25">
      <c r="A781" s="25" t="s">
        <v>149</v>
      </c>
      <c r="B781" s="20" t="s">
        <v>1129</v>
      </c>
      <c r="C781" s="40" t="s">
        <v>250</v>
      </c>
      <c r="D781" s="40" t="s">
        <v>231</v>
      </c>
      <c r="E781" s="2">
        <v>240</v>
      </c>
      <c r="F781" s="2"/>
      <c r="G781" s="10">
        <f>'Пр.3 Рд,пр, ЦС,ВР 20'!F453</f>
        <v>0</v>
      </c>
      <c r="H781" s="335">
        <f>'Пр.3 Рд,пр, ЦС,ВР 20'!G453</f>
        <v>0</v>
      </c>
      <c r="I781" s="6" t="e">
        <f t="shared" si="421"/>
        <v>#DIV/0!</v>
      </c>
    </row>
    <row r="782" spans="1:9" ht="31.5" hidden="1" x14ac:dyDescent="0.25">
      <c r="A782" s="45" t="s">
        <v>640</v>
      </c>
      <c r="B782" s="20" t="s">
        <v>1129</v>
      </c>
      <c r="C782" s="40" t="s">
        <v>250</v>
      </c>
      <c r="D782" s="40" t="s">
        <v>231</v>
      </c>
      <c r="E782" s="2">
        <v>850</v>
      </c>
      <c r="F782" s="2">
        <v>908</v>
      </c>
      <c r="G782" s="10">
        <f>G781</f>
        <v>0</v>
      </c>
      <c r="H782" s="335">
        <f t="shared" ref="H782" si="457">H781</f>
        <v>0</v>
      </c>
      <c r="I782" s="6" t="e">
        <f t="shared" si="421"/>
        <v>#DIV/0!</v>
      </c>
    </row>
    <row r="783" spans="1:9" s="217" customFormat="1" ht="31.5" x14ac:dyDescent="0.25">
      <c r="A783" s="244" t="s">
        <v>1289</v>
      </c>
      <c r="B783" s="20" t="s">
        <v>1290</v>
      </c>
      <c r="C783" s="40" t="s">
        <v>250</v>
      </c>
      <c r="D783" s="40" t="s">
        <v>231</v>
      </c>
      <c r="E783" s="2"/>
      <c r="F783" s="2"/>
      <c r="G783" s="10">
        <f>G784</f>
        <v>11</v>
      </c>
      <c r="H783" s="335">
        <f t="shared" ref="H783:H784" si="458">H784</f>
        <v>0</v>
      </c>
      <c r="I783" s="6">
        <f t="shared" si="421"/>
        <v>0</v>
      </c>
    </row>
    <row r="784" spans="1:9" s="217" customFormat="1" ht="31.5" x14ac:dyDescent="0.25">
      <c r="A784" s="25" t="s">
        <v>147</v>
      </c>
      <c r="B784" s="20" t="s">
        <v>1290</v>
      </c>
      <c r="C784" s="40" t="s">
        <v>250</v>
      </c>
      <c r="D784" s="40" t="s">
        <v>231</v>
      </c>
      <c r="E784" s="2">
        <v>200</v>
      </c>
      <c r="F784" s="2"/>
      <c r="G784" s="10">
        <f>G785</f>
        <v>11</v>
      </c>
      <c r="H784" s="335">
        <f t="shared" si="458"/>
        <v>0</v>
      </c>
      <c r="I784" s="6">
        <f t="shared" si="421"/>
        <v>0</v>
      </c>
    </row>
    <row r="785" spans="1:9" s="217" customFormat="1" ht="31.5" x14ac:dyDescent="0.25">
      <c r="A785" s="25" t="s">
        <v>149</v>
      </c>
      <c r="B785" s="20" t="s">
        <v>1290</v>
      </c>
      <c r="C785" s="40" t="s">
        <v>250</v>
      </c>
      <c r="D785" s="40" t="s">
        <v>231</v>
      </c>
      <c r="E785" s="2">
        <v>240</v>
      </c>
      <c r="F785" s="2"/>
      <c r="G785" s="10">
        <f>'Пр.4 ведом.20'!G1061</f>
        <v>11</v>
      </c>
      <c r="H785" s="335">
        <f>'Пр.4 ведом.20'!H1061</f>
        <v>0</v>
      </c>
      <c r="I785" s="6">
        <f t="shared" si="421"/>
        <v>0</v>
      </c>
    </row>
    <row r="786" spans="1:9" s="217" customFormat="1" ht="31.5" x14ac:dyDescent="0.25">
      <c r="A786" s="45" t="s">
        <v>640</v>
      </c>
      <c r="B786" s="20" t="s">
        <v>1290</v>
      </c>
      <c r="C786" s="40" t="s">
        <v>250</v>
      </c>
      <c r="D786" s="40" t="s">
        <v>231</v>
      </c>
      <c r="E786" s="2">
        <v>240</v>
      </c>
      <c r="F786" s="2">
        <v>908</v>
      </c>
      <c r="G786" s="10">
        <f>G785</f>
        <v>11</v>
      </c>
      <c r="H786" s="335">
        <f t="shared" ref="H786" si="459">H785</f>
        <v>0</v>
      </c>
      <c r="I786" s="6">
        <f t="shared" si="421"/>
        <v>0</v>
      </c>
    </row>
    <row r="787" spans="1:9" s="217" customFormat="1" ht="31.5" x14ac:dyDescent="0.25">
      <c r="A787" s="23" t="s">
        <v>950</v>
      </c>
      <c r="B787" s="24" t="s">
        <v>1130</v>
      </c>
      <c r="C787" s="7"/>
      <c r="D787" s="7"/>
      <c r="E787" s="3"/>
      <c r="F787" s="3"/>
      <c r="G787" s="59">
        <f>G788</f>
        <v>1914.5</v>
      </c>
      <c r="H787" s="347">
        <f t="shared" ref="H787" si="460">H788</f>
        <v>0</v>
      </c>
      <c r="I787" s="4">
        <f t="shared" ref="I787:I850" si="461">H787/G787*100</f>
        <v>0</v>
      </c>
    </row>
    <row r="788" spans="1:9" s="217" customFormat="1" ht="15.75" x14ac:dyDescent="0.25">
      <c r="A788" s="73" t="s">
        <v>406</v>
      </c>
      <c r="B788" s="40" t="s">
        <v>1130</v>
      </c>
      <c r="C788" s="40" t="s">
        <v>250</v>
      </c>
      <c r="D788" s="40"/>
      <c r="E788" s="2"/>
      <c r="F788" s="2"/>
      <c r="G788" s="10">
        <f t="shared" ref="G788:H788" si="462">G789</f>
        <v>1914.5</v>
      </c>
      <c r="H788" s="335">
        <f t="shared" si="462"/>
        <v>0</v>
      </c>
      <c r="I788" s="6">
        <f t="shared" si="461"/>
        <v>0</v>
      </c>
    </row>
    <row r="789" spans="1:9" s="217" customFormat="1" ht="15.75" x14ac:dyDescent="0.25">
      <c r="A789" s="73" t="s">
        <v>557</v>
      </c>
      <c r="B789" s="40" t="s">
        <v>1130</v>
      </c>
      <c r="C789" s="40" t="s">
        <v>250</v>
      </c>
      <c r="D789" s="40" t="s">
        <v>231</v>
      </c>
      <c r="E789" s="2"/>
      <c r="F789" s="2"/>
      <c r="G789" s="10">
        <f>G790+G794</f>
        <v>1914.5</v>
      </c>
      <c r="H789" s="335">
        <f t="shared" ref="H789" si="463">H790+H794</f>
        <v>0</v>
      </c>
      <c r="I789" s="6">
        <f t="shared" si="461"/>
        <v>0</v>
      </c>
    </row>
    <row r="790" spans="1:9" s="217" customFormat="1" ht="31.5" hidden="1" x14ac:dyDescent="0.25">
      <c r="A790" s="25" t="s">
        <v>707</v>
      </c>
      <c r="B790" s="20" t="s">
        <v>1131</v>
      </c>
      <c r="C790" s="40" t="s">
        <v>250</v>
      </c>
      <c r="D790" s="40" t="s">
        <v>231</v>
      </c>
      <c r="E790" s="2"/>
      <c r="F790" s="2"/>
      <c r="G790" s="10">
        <f>G791</f>
        <v>0</v>
      </c>
      <c r="H790" s="335">
        <f t="shared" ref="H790:H791" si="464">H791</f>
        <v>0</v>
      </c>
      <c r="I790" s="6" t="e">
        <f t="shared" si="461"/>
        <v>#DIV/0!</v>
      </c>
    </row>
    <row r="791" spans="1:9" s="217" customFormat="1" ht="31.5" hidden="1" x14ac:dyDescent="0.25">
      <c r="A791" s="25" t="s">
        <v>147</v>
      </c>
      <c r="B791" s="20" t="s">
        <v>1131</v>
      </c>
      <c r="C791" s="40" t="s">
        <v>250</v>
      </c>
      <c r="D791" s="40" t="s">
        <v>231</v>
      </c>
      <c r="E791" s="20" t="s">
        <v>148</v>
      </c>
      <c r="F791" s="2"/>
      <c r="G791" s="10">
        <f>G792</f>
        <v>0</v>
      </c>
      <c r="H791" s="335">
        <f t="shared" si="464"/>
        <v>0</v>
      </c>
      <c r="I791" s="6" t="e">
        <f t="shared" si="461"/>
        <v>#DIV/0!</v>
      </c>
    </row>
    <row r="792" spans="1:9" s="217" customFormat="1" ht="31.5" hidden="1" x14ac:dyDescent="0.25">
      <c r="A792" s="25" t="s">
        <v>149</v>
      </c>
      <c r="B792" s="20" t="s">
        <v>1131</v>
      </c>
      <c r="C792" s="40" t="s">
        <v>250</v>
      </c>
      <c r="D792" s="40" t="s">
        <v>231</v>
      </c>
      <c r="E792" s="20" t="s">
        <v>150</v>
      </c>
      <c r="F792" s="2"/>
      <c r="G792" s="10">
        <f>'Пр.3 Рд,пр, ЦС,ВР 20'!F457</f>
        <v>0</v>
      </c>
      <c r="H792" s="335">
        <f>'Пр.3 Рд,пр, ЦС,ВР 20'!G457</f>
        <v>0</v>
      </c>
      <c r="I792" s="6" t="e">
        <f t="shared" si="461"/>
        <v>#DIV/0!</v>
      </c>
    </row>
    <row r="793" spans="1:9" s="217" customFormat="1" ht="31.5" hidden="1" x14ac:dyDescent="0.25">
      <c r="A793" s="45" t="s">
        <v>640</v>
      </c>
      <c r="B793" s="20" t="s">
        <v>1131</v>
      </c>
      <c r="C793" s="40" t="s">
        <v>250</v>
      </c>
      <c r="D793" s="40" t="s">
        <v>231</v>
      </c>
      <c r="E793" s="20" t="s">
        <v>150</v>
      </c>
      <c r="F793" s="2">
        <v>908</v>
      </c>
      <c r="G793" s="10">
        <f>G792</f>
        <v>0</v>
      </c>
      <c r="H793" s="335">
        <f t="shared" ref="H793" si="465">H792</f>
        <v>0</v>
      </c>
      <c r="I793" s="6" t="e">
        <f t="shared" si="461"/>
        <v>#DIV/0!</v>
      </c>
    </row>
    <row r="794" spans="1:9" s="217" customFormat="1" ht="63" x14ac:dyDescent="0.25">
      <c r="A794" s="25" t="s">
        <v>1249</v>
      </c>
      <c r="B794" s="20" t="s">
        <v>1250</v>
      </c>
      <c r="C794" s="40" t="s">
        <v>250</v>
      </c>
      <c r="D794" s="40" t="s">
        <v>231</v>
      </c>
      <c r="E794" s="20"/>
      <c r="F794" s="2"/>
      <c r="G794" s="10">
        <f>G795</f>
        <v>1914.5</v>
      </c>
      <c r="H794" s="335">
        <f t="shared" ref="H794:H795" si="466">H795</f>
        <v>0</v>
      </c>
      <c r="I794" s="6">
        <f t="shared" si="461"/>
        <v>0</v>
      </c>
    </row>
    <row r="795" spans="1:9" s="217" customFormat="1" ht="31.5" x14ac:dyDescent="0.25">
      <c r="A795" s="25" t="s">
        <v>147</v>
      </c>
      <c r="B795" s="20" t="s">
        <v>1250</v>
      </c>
      <c r="C795" s="40" t="s">
        <v>250</v>
      </c>
      <c r="D795" s="40" t="s">
        <v>231</v>
      </c>
      <c r="E795" s="20" t="s">
        <v>148</v>
      </c>
      <c r="F795" s="2"/>
      <c r="G795" s="10">
        <f>G796</f>
        <v>1914.5</v>
      </c>
      <c r="H795" s="335">
        <f t="shared" si="466"/>
        <v>0</v>
      </c>
      <c r="I795" s="6">
        <f t="shared" si="461"/>
        <v>0</v>
      </c>
    </row>
    <row r="796" spans="1:9" s="217" customFormat="1" ht="31.5" x14ac:dyDescent="0.25">
      <c r="A796" s="25" t="s">
        <v>149</v>
      </c>
      <c r="B796" s="20" t="s">
        <v>1250</v>
      </c>
      <c r="C796" s="40" t="s">
        <v>250</v>
      </c>
      <c r="D796" s="40" t="s">
        <v>231</v>
      </c>
      <c r="E796" s="20" t="s">
        <v>150</v>
      </c>
      <c r="F796" s="2"/>
      <c r="G796" s="10">
        <f>'Пр.3 Рд,пр, ЦС,ВР 20'!F460</f>
        <v>1914.5</v>
      </c>
      <c r="H796" s="335">
        <f>'Пр.3 Рд,пр, ЦС,ВР 20'!G460</f>
        <v>0</v>
      </c>
      <c r="I796" s="6">
        <f t="shared" si="461"/>
        <v>0</v>
      </c>
    </row>
    <row r="797" spans="1:9" s="217" customFormat="1" ht="31.5" x14ac:dyDescent="0.25">
      <c r="A797" s="45" t="s">
        <v>640</v>
      </c>
      <c r="B797" s="20" t="s">
        <v>1250</v>
      </c>
      <c r="C797" s="40" t="s">
        <v>250</v>
      </c>
      <c r="D797" s="40" t="s">
        <v>231</v>
      </c>
      <c r="E797" s="20" t="s">
        <v>150</v>
      </c>
      <c r="F797" s="2">
        <v>908</v>
      </c>
      <c r="G797" s="10">
        <f>G796</f>
        <v>1914.5</v>
      </c>
      <c r="H797" s="335">
        <f t="shared" ref="H797" si="467">H796</f>
        <v>0</v>
      </c>
      <c r="I797" s="6">
        <f t="shared" si="461"/>
        <v>0</v>
      </c>
    </row>
    <row r="798" spans="1:9" ht="47.25" x14ac:dyDescent="0.25">
      <c r="A798" s="34" t="s">
        <v>197</v>
      </c>
      <c r="B798" s="207" t="s">
        <v>198</v>
      </c>
      <c r="C798" s="7"/>
      <c r="D798" s="7"/>
      <c r="E798" s="7"/>
      <c r="F798" s="3"/>
      <c r="G798" s="59">
        <f>G799+G810</f>
        <v>306</v>
      </c>
      <c r="H798" s="347">
        <f t="shared" ref="H798" si="468">H799+H810</f>
        <v>91</v>
      </c>
      <c r="I798" s="4">
        <f t="shared" si="461"/>
        <v>29.738562091503269</v>
      </c>
    </row>
    <row r="799" spans="1:9" s="217" customFormat="1" ht="31.5" x14ac:dyDescent="0.25">
      <c r="A799" s="34" t="s">
        <v>1159</v>
      </c>
      <c r="B799" s="207" t="s">
        <v>923</v>
      </c>
      <c r="C799" s="7"/>
      <c r="D799" s="7"/>
      <c r="E799" s="7"/>
      <c r="F799" s="3"/>
      <c r="G799" s="59">
        <f>G800</f>
        <v>285</v>
      </c>
      <c r="H799" s="347">
        <f t="shared" ref="H799" si="469">H800</f>
        <v>91</v>
      </c>
      <c r="I799" s="4">
        <f t="shared" si="461"/>
        <v>31.929824561403507</v>
      </c>
    </row>
    <row r="800" spans="1:9" ht="15.75" x14ac:dyDescent="0.25">
      <c r="A800" s="29" t="s">
        <v>248</v>
      </c>
      <c r="B800" s="5" t="s">
        <v>923</v>
      </c>
      <c r="C800" s="40" t="s">
        <v>166</v>
      </c>
      <c r="D800" s="40"/>
      <c r="E800" s="40"/>
      <c r="F800" s="2"/>
      <c r="G800" s="10">
        <f t="shared" ref="G800:H803" si="470">G801</f>
        <v>285</v>
      </c>
      <c r="H800" s="335">
        <f t="shared" si="470"/>
        <v>91</v>
      </c>
      <c r="I800" s="6">
        <f t="shared" si="461"/>
        <v>31.929824561403507</v>
      </c>
    </row>
    <row r="801" spans="1:9" ht="15.75" x14ac:dyDescent="0.25">
      <c r="A801" s="29" t="s">
        <v>249</v>
      </c>
      <c r="B801" s="30" t="s">
        <v>923</v>
      </c>
      <c r="C801" s="40" t="s">
        <v>166</v>
      </c>
      <c r="D801" s="40" t="s">
        <v>250</v>
      </c>
      <c r="E801" s="40"/>
      <c r="F801" s="2"/>
      <c r="G801" s="10">
        <f>G802+G806</f>
        <v>285</v>
      </c>
      <c r="H801" s="335">
        <f t="shared" ref="H801" si="471">H802+H806</f>
        <v>91</v>
      </c>
      <c r="I801" s="6">
        <f t="shared" si="461"/>
        <v>31.929824561403507</v>
      </c>
    </row>
    <row r="802" spans="1:9" ht="15.75" x14ac:dyDescent="0.25">
      <c r="A802" s="25" t="s">
        <v>924</v>
      </c>
      <c r="B802" s="20" t="s">
        <v>968</v>
      </c>
      <c r="C802" s="40" t="s">
        <v>166</v>
      </c>
      <c r="D802" s="40" t="s">
        <v>250</v>
      </c>
      <c r="E802" s="40"/>
      <c r="F802" s="2"/>
      <c r="G802" s="10">
        <f t="shared" si="470"/>
        <v>30</v>
      </c>
      <c r="H802" s="335">
        <f t="shared" si="470"/>
        <v>9.5</v>
      </c>
      <c r="I802" s="6">
        <f t="shared" si="461"/>
        <v>31.666666666666664</v>
      </c>
    </row>
    <row r="803" spans="1:9" ht="15.75" x14ac:dyDescent="0.25">
      <c r="A803" s="29" t="s">
        <v>151</v>
      </c>
      <c r="B803" s="20" t="s">
        <v>968</v>
      </c>
      <c r="C803" s="40" t="s">
        <v>166</v>
      </c>
      <c r="D803" s="40" t="s">
        <v>250</v>
      </c>
      <c r="E803" s="40" t="s">
        <v>161</v>
      </c>
      <c r="F803" s="2"/>
      <c r="G803" s="10">
        <f t="shared" si="470"/>
        <v>30</v>
      </c>
      <c r="H803" s="335">
        <f t="shared" si="470"/>
        <v>9.5</v>
      </c>
      <c r="I803" s="6">
        <f t="shared" si="461"/>
        <v>31.666666666666664</v>
      </c>
    </row>
    <row r="804" spans="1:9" ht="47.25" x14ac:dyDescent="0.25">
      <c r="A804" s="29" t="s">
        <v>200</v>
      </c>
      <c r="B804" s="20" t="s">
        <v>968</v>
      </c>
      <c r="C804" s="40" t="s">
        <v>166</v>
      </c>
      <c r="D804" s="40" t="s">
        <v>250</v>
      </c>
      <c r="E804" s="40" t="s">
        <v>176</v>
      </c>
      <c r="F804" s="2"/>
      <c r="G804" s="10">
        <f>'Пр.4 ведом.20'!G166</f>
        <v>30</v>
      </c>
      <c r="H804" s="335">
        <f>'Пр.4 ведом.20'!H166</f>
        <v>9.5</v>
      </c>
      <c r="I804" s="6">
        <f t="shared" si="461"/>
        <v>31.666666666666664</v>
      </c>
    </row>
    <row r="805" spans="1:9" ht="15.75" x14ac:dyDescent="0.25">
      <c r="A805" s="29" t="s">
        <v>164</v>
      </c>
      <c r="B805" s="20" t="s">
        <v>968</v>
      </c>
      <c r="C805" s="40" t="s">
        <v>166</v>
      </c>
      <c r="D805" s="40" t="s">
        <v>250</v>
      </c>
      <c r="E805" s="40" t="s">
        <v>176</v>
      </c>
      <c r="F805" s="2">
        <v>902</v>
      </c>
      <c r="G805" s="10">
        <f>G804</f>
        <v>30</v>
      </c>
      <c r="H805" s="335">
        <f t="shared" ref="H805" si="472">H804</f>
        <v>9.5</v>
      </c>
      <c r="I805" s="6">
        <f t="shared" si="461"/>
        <v>31.666666666666664</v>
      </c>
    </row>
    <row r="806" spans="1:9" s="217" customFormat="1" ht="31.5" x14ac:dyDescent="0.25">
      <c r="A806" s="25" t="s">
        <v>251</v>
      </c>
      <c r="B806" s="20" t="s">
        <v>927</v>
      </c>
      <c r="C806" s="40" t="s">
        <v>166</v>
      </c>
      <c r="D806" s="40" t="s">
        <v>250</v>
      </c>
      <c r="E806" s="40"/>
      <c r="F806" s="2"/>
      <c r="G806" s="10">
        <f>G807</f>
        <v>255</v>
      </c>
      <c r="H806" s="335">
        <f t="shared" ref="H806:H807" si="473">H807</f>
        <v>81.5</v>
      </c>
      <c r="I806" s="6">
        <f t="shared" si="461"/>
        <v>31.960784313725487</v>
      </c>
    </row>
    <row r="807" spans="1:9" s="217" customFormat="1" ht="15.75" x14ac:dyDescent="0.25">
      <c r="A807" s="25" t="s">
        <v>151</v>
      </c>
      <c r="B807" s="20" t="s">
        <v>927</v>
      </c>
      <c r="C807" s="40" t="s">
        <v>166</v>
      </c>
      <c r="D807" s="40" t="s">
        <v>250</v>
      </c>
      <c r="E807" s="40" t="s">
        <v>161</v>
      </c>
      <c r="F807" s="2"/>
      <c r="G807" s="10">
        <f>G808</f>
        <v>255</v>
      </c>
      <c r="H807" s="335">
        <f t="shared" si="473"/>
        <v>81.5</v>
      </c>
      <c r="I807" s="6">
        <f t="shared" si="461"/>
        <v>31.960784313725487</v>
      </c>
    </row>
    <row r="808" spans="1:9" s="217" customFormat="1" ht="47.25" x14ac:dyDescent="0.25">
      <c r="A808" s="25" t="s">
        <v>200</v>
      </c>
      <c r="B808" s="20" t="s">
        <v>927</v>
      </c>
      <c r="C808" s="40" t="s">
        <v>166</v>
      </c>
      <c r="D808" s="40" t="s">
        <v>250</v>
      </c>
      <c r="E808" s="40" t="s">
        <v>176</v>
      </c>
      <c r="F808" s="2"/>
      <c r="G808" s="10">
        <f>'Пр.3 Рд,пр, ЦС,ВР 20'!F257</f>
        <v>255</v>
      </c>
      <c r="H808" s="335">
        <f>'Пр.3 Рд,пр, ЦС,ВР 20'!G257</f>
        <v>81.5</v>
      </c>
      <c r="I808" s="6">
        <f t="shared" si="461"/>
        <v>31.960784313725487</v>
      </c>
    </row>
    <row r="809" spans="1:9" s="217" customFormat="1" ht="15.75" x14ac:dyDescent="0.25">
      <c r="A809" s="29" t="s">
        <v>164</v>
      </c>
      <c r="B809" s="20" t="s">
        <v>927</v>
      </c>
      <c r="C809" s="40" t="s">
        <v>166</v>
      </c>
      <c r="D809" s="40" t="s">
        <v>250</v>
      </c>
      <c r="E809" s="40" t="s">
        <v>176</v>
      </c>
      <c r="F809" s="2">
        <v>902</v>
      </c>
      <c r="G809" s="10">
        <f>G808</f>
        <v>255</v>
      </c>
      <c r="H809" s="335">
        <f t="shared" ref="H809" si="474">H808</f>
        <v>81.5</v>
      </c>
      <c r="I809" s="6">
        <f t="shared" si="461"/>
        <v>31.960784313725487</v>
      </c>
    </row>
    <row r="810" spans="1:9" s="217" customFormat="1" ht="47.25" x14ac:dyDescent="0.25">
      <c r="A810" s="226" t="s">
        <v>1160</v>
      </c>
      <c r="B810" s="24" t="s">
        <v>926</v>
      </c>
      <c r="C810" s="40"/>
      <c r="D810" s="40"/>
      <c r="E810" s="40"/>
      <c r="F810" s="2"/>
      <c r="G810" s="10">
        <f>G811</f>
        <v>21</v>
      </c>
      <c r="H810" s="335">
        <f t="shared" ref="H810:H814" si="475">H811</f>
        <v>0</v>
      </c>
      <c r="I810" s="6">
        <f t="shared" si="461"/>
        <v>0</v>
      </c>
    </row>
    <row r="811" spans="1:9" s="217" customFormat="1" ht="15.75" x14ac:dyDescent="0.25">
      <c r="A811" s="29" t="s">
        <v>248</v>
      </c>
      <c r="B811" s="5" t="s">
        <v>923</v>
      </c>
      <c r="C811" s="40" t="s">
        <v>166</v>
      </c>
      <c r="D811" s="40"/>
      <c r="E811" s="40"/>
      <c r="F811" s="2"/>
      <c r="G811" s="10">
        <f>G812</f>
        <v>21</v>
      </c>
      <c r="H811" s="335">
        <f t="shared" si="475"/>
        <v>0</v>
      </c>
      <c r="I811" s="6">
        <f t="shared" si="461"/>
        <v>0</v>
      </c>
    </row>
    <row r="812" spans="1:9" s="217" customFormat="1" ht="15.75" x14ac:dyDescent="0.25">
      <c r="A812" s="29" t="s">
        <v>249</v>
      </c>
      <c r="B812" s="30" t="s">
        <v>923</v>
      </c>
      <c r="C812" s="40" t="s">
        <v>166</v>
      </c>
      <c r="D812" s="40" t="s">
        <v>250</v>
      </c>
      <c r="E812" s="40"/>
      <c r="F812" s="2"/>
      <c r="G812" s="10">
        <f>G813</f>
        <v>21</v>
      </c>
      <c r="H812" s="335">
        <f t="shared" si="475"/>
        <v>0</v>
      </c>
      <c r="I812" s="6">
        <f t="shared" si="461"/>
        <v>0</v>
      </c>
    </row>
    <row r="813" spans="1:9" s="217" customFormat="1" ht="15.75" x14ac:dyDescent="0.25">
      <c r="A813" s="25" t="s">
        <v>925</v>
      </c>
      <c r="B813" s="5" t="s">
        <v>969</v>
      </c>
      <c r="C813" s="40" t="s">
        <v>166</v>
      </c>
      <c r="D813" s="40" t="s">
        <v>250</v>
      </c>
      <c r="E813" s="40"/>
      <c r="F813" s="2"/>
      <c r="G813" s="10">
        <f>G814</f>
        <v>21</v>
      </c>
      <c r="H813" s="335">
        <f t="shared" si="475"/>
        <v>0</v>
      </c>
      <c r="I813" s="6">
        <f t="shared" si="461"/>
        <v>0</v>
      </c>
    </row>
    <row r="814" spans="1:9" s="217" customFormat="1" ht="15.75" x14ac:dyDescent="0.25">
      <c r="A814" s="29" t="s">
        <v>151</v>
      </c>
      <c r="B814" s="5" t="s">
        <v>969</v>
      </c>
      <c r="C814" s="40" t="s">
        <v>166</v>
      </c>
      <c r="D814" s="40" t="s">
        <v>250</v>
      </c>
      <c r="E814" s="40" t="s">
        <v>161</v>
      </c>
      <c r="F814" s="2"/>
      <c r="G814" s="10">
        <f>G815</f>
        <v>21</v>
      </c>
      <c r="H814" s="335">
        <f t="shared" si="475"/>
        <v>0</v>
      </c>
      <c r="I814" s="6">
        <f t="shared" si="461"/>
        <v>0</v>
      </c>
    </row>
    <row r="815" spans="1:9" s="217" customFormat="1" ht="47.25" x14ac:dyDescent="0.25">
      <c r="A815" s="29" t="s">
        <v>200</v>
      </c>
      <c r="B815" s="5" t="s">
        <v>969</v>
      </c>
      <c r="C815" s="40" t="s">
        <v>166</v>
      </c>
      <c r="D815" s="40" t="s">
        <v>250</v>
      </c>
      <c r="E815" s="40" t="s">
        <v>176</v>
      </c>
      <c r="F815" s="2"/>
      <c r="G815" s="10">
        <f>'Пр.3 Рд,пр, ЦС,ВР 20'!F261</f>
        <v>21</v>
      </c>
      <c r="H815" s="335">
        <f>'Пр.3 Рд,пр, ЦС,ВР 20'!G261</f>
        <v>0</v>
      </c>
      <c r="I815" s="6">
        <f t="shared" si="461"/>
        <v>0</v>
      </c>
    </row>
    <row r="816" spans="1:9" s="217" customFormat="1" ht="15.75" x14ac:dyDescent="0.25">
      <c r="A816" s="29" t="s">
        <v>164</v>
      </c>
      <c r="B816" s="20" t="s">
        <v>927</v>
      </c>
      <c r="C816" s="40" t="s">
        <v>166</v>
      </c>
      <c r="D816" s="40" t="s">
        <v>250</v>
      </c>
      <c r="E816" s="40" t="s">
        <v>176</v>
      </c>
      <c r="F816" s="2">
        <v>902</v>
      </c>
      <c r="G816" s="10">
        <f>G815</f>
        <v>21</v>
      </c>
      <c r="H816" s="335">
        <f t="shared" ref="H816" si="476">H815</f>
        <v>0</v>
      </c>
      <c r="I816" s="6">
        <f t="shared" si="461"/>
        <v>0</v>
      </c>
    </row>
    <row r="817" spans="1:9" ht="52.5" customHeight="1" x14ac:dyDescent="0.25">
      <c r="A817" s="41" t="s">
        <v>1356</v>
      </c>
      <c r="B817" s="7" t="s">
        <v>534</v>
      </c>
      <c r="C817" s="7"/>
      <c r="D817" s="7"/>
      <c r="E817" s="72"/>
      <c r="F817" s="3"/>
      <c r="G817" s="59">
        <f>G818+G825+G832+G839+G846+G853+G860</f>
        <v>129</v>
      </c>
      <c r="H817" s="347">
        <f t="shared" ref="H817" si="477">H818+H825+H832+H839+H846+H853+H860</f>
        <v>129</v>
      </c>
      <c r="I817" s="4">
        <f t="shared" si="461"/>
        <v>100</v>
      </c>
    </row>
    <row r="818" spans="1:9" s="217" customFormat="1" ht="31.7" hidden="1" customHeight="1" x14ac:dyDescent="0.25">
      <c r="A818" s="23" t="s">
        <v>1099</v>
      </c>
      <c r="B818" s="24" t="s">
        <v>1101</v>
      </c>
      <c r="C818" s="40"/>
      <c r="D818" s="40"/>
      <c r="E818" s="40"/>
      <c r="F818" s="2"/>
      <c r="G818" s="59">
        <f>G819</f>
        <v>0</v>
      </c>
      <c r="H818" s="347">
        <f t="shared" ref="H818" si="478">H819</f>
        <v>0</v>
      </c>
      <c r="I818" s="4" t="e">
        <f t="shared" si="461"/>
        <v>#DIV/0!</v>
      </c>
    </row>
    <row r="819" spans="1:9" s="217" customFormat="1" ht="18" hidden="1" customHeight="1" x14ac:dyDescent="0.25">
      <c r="A819" s="29" t="s">
        <v>406</v>
      </c>
      <c r="B819" s="40" t="s">
        <v>1101</v>
      </c>
      <c r="C819" s="40" t="s">
        <v>250</v>
      </c>
      <c r="D819" s="40"/>
      <c r="E819" s="73"/>
      <c r="F819" s="2"/>
      <c r="G819" s="10">
        <f t="shared" ref="G819:H820" si="479">G820</f>
        <v>0</v>
      </c>
      <c r="H819" s="335">
        <f t="shared" si="479"/>
        <v>0</v>
      </c>
      <c r="I819" s="4" t="e">
        <f t="shared" si="461"/>
        <v>#DIV/0!</v>
      </c>
    </row>
    <row r="820" spans="1:9" s="217" customFormat="1" ht="19.5" hidden="1" customHeight="1" x14ac:dyDescent="0.25">
      <c r="A820" s="29" t="s">
        <v>533</v>
      </c>
      <c r="B820" s="40" t="s">
        <v>1101</v>
      </c>
      <c r="C820" s="40" t="s">
        <v>250</v>
      </c>
      <c r="D820" s="40" t="s">
        <v>229</v>
      </c>
      <c r="E820" s="73"/>
      <c r="F820" s="2"/>
      <c r="G820" s="10">
        <f>G821</f>
        <v>0</v>
      </c>
      <c r="H820" s="335">
        <f t="shared" si="479"/>
        <v>0</v>
      </c>
      <c r="I820" s="4" t="e">
        <f t="shared" si="461"/>
        <v>#DIV/0!</v>
      </c>
    </row>
    <row r="821" spans="1:9" ht="15.75" hidden="1" x14ac:dyDescent="0.25">
      <c r="A821" s="45" t="s">
        <v>537</v>
      </c>
      <c r="B821" s="20" t="s">
        <v>1102</v>
      </c>
      <c r="C821" s="40" t="s">
        <v>250</v>
      </c>
      <c r="D821" s="40" t="s">
        <v>229</v>
      </c>
      <c r="E821" s="40"/>
      <c r="F821" s="2"/>
      <c r="G821" s="10">
        <f t="shared" ref="G821:H822" si="480">G822</f>
        <v>0</v>
      </c>
      <c r="H821" s="335">
        <f t="shared" si="480"/>
        <v>0</v>
      </c>
      <c r="I821" s="4" t="e">
        <f t="shared" si="461"/>
        <v>#DIV/0!</v>
      </c>
    </row>
    <row r="822" spans="1:9" ht="31.5" hidden="1" x14ac:dyDescent="0.25">
      <c r="A822" s="31" t="s">
        <v>147</v>
      </c>
      <c r="B822" s="20" t="s">
        <v>1102</v>
      </c>
      <c r="C822" s="40" t="s">
        <v>250</v>
      </c>
      <c r="D822" s="40" t="s">
        <v>229</v>
      </c>
      <c r="E822" s="40" t="s">
        <v>148</v>
      </c>
      <c r="F822" s="2"/>
      <c r="G822" s="10">
        <f t="shared" si="480"/>
        <v>0</v>
      </c>
      <c r="H822" s="335">
        <f t="shared" si="480"/>
        <v>0</v>
      </c>
      <c r="I822" s="4" t="e">
        <f t="shared" si="461"/>
        <v>#DIV/0!</v>
      </c>
    </row>
    <row r="823" spans="1:9" ht="31.5" hidden="1" x14ac:dyDescent="0.25">
      <c r="A823" s="31" t="s">
        <v>149</v>
      </c>
      <c r="B823" s="20" t="s">
        <v>1102</v>
      </c>
      <c r="C823" s="40" t="s">
        <v>250</v>
      </c>
      <c r="D823" s="40" t="s">
        <v>229</v>
      </c>
      <c r="E823" s="40" t="s">
        <v>150</v>
      </c>
      <c r="F823" s="2"/>
      <c r="G823" s="10">
        <f>'Пр.3 Рд,пр, ЦС,ВР 20'!F385</f>
        <v>0</v>
      </c>
      <c r="H823" s="335">
        <f>'Пр.3 Рд,пр, ЦС,ВР 20'!G385</f>
        <v>0</v>
      </c>
      <c r="I823" s="4" t="e">
        <f t="shared" si="461"/>
        <v>#DIV/0!</v>
      </c>
    </row>
    <row r="824" spans="1:9" s="217" customFormat="1" ht="31.5" hidden="1" x14ac:dyDescent="0.25">
      <c r="A824" s="45" t="s">
        <v>640</v>
      </c>
      <c r="B824" s="20" t="s">
        <v>1102</v>
      </c>
      <c r="C824" s="40" t="s">
        <v>250</v>
      </c>
      <c r="D824" s="40" t="s">
        <v>229</v>
      </c>
      <c r="E824" s="40" t="s">
        <v>150</v>
      </c>
      <c r="F824" s="2">
        <v>908</v>
      </c>
      <c r="G824" s="6">
        <f>G823</f>
        <v>0</v>
      </c>
      <c r="H824" s="6">
        <f t="shared" ref="H824" si="481">H823</f>
        <v>0</v>
      </c>
      <c r="I824" s="4" t="e">
        <f t="shared" si="461"/>
        <v>#DIV/0!</v>
      </c>
    </row>
    <row r="825" spans="1:9" s="217" customFormat="1" ht="31.5" x14ac:dyDescent="0.25">
      <c r="A825" s="34" t="s">
        <v>1103</v>
      </c>
      <c r="B825" s="24" t="s">
        <v>1104</v>
      </c>
      <c r="C825" s="40"/>
      <c r="D825" s="40"/>
      <c r="E825" s="40"/>
      <c r="F825" s="2"/>
      <c r="G825" s="59">
        <f>G826</f>
        <v>85</v>
      </c>
      <c r="H825" s="347">
        <f t="shared" ref="H825" si="482">H826</f>
        <v>85</v>
      </c>
      <c r="I825" s="4">
        <f t="shared" si="461"/>
        <v>100</v>
      </c>
    </row>
    <row r="826" spans="1:9" s="217" customFormat="1" ht="15.75" x14ac:dyDescent="0.25">
      <c r="A826" s="29" t="s">
        <v>406</v>
      </c>
      <c r="B826" s="40" t="s">
        <v>1104</v>
      </c>
      <c r="C826" s="40" t="s">
        <v>250</v>
      </c>
      <c r="D826" s="40"/>
      <c r="E826" s="73"/>
      <c r="F826" s="2"/>
      <c r="G826" s="10">
        <f t="shared" ref="G826:H828" si="483">G827</f>
        <v>85</v>
      </c>
      <c r="H826" s="335">
        <f t="shared" si="483"/>
        <v>85</v>
      </c>
      <c r="I826" s="6">
        <f t="shared" si="461"/>
        <v>100</v>
      </c>
    </row>
    <row r="827" spans="1:9" s="217" customFormat="1" ht="15.75" x14ac:dyDescent="0.25">
      <c r="A827" s="29" t="s">
        <v>533</v>
      </c>
      <c r="B827" s="40" t="s">
        <v>1104</v>
      </c>
      <c r="C827" s="40" t="s">
        <v>250</v>
      </c>
      <c r="D827" s="40" t="s">
        <v>229</v>
      </c>
      <c r="E827" s="73"/>
      <c r="F827" s="2"/>
      <c r="G827" s="10">
        <f>G828</f>
        <v>85</v>
      </c>
      <c r="H827" s="335">
        <f t="shared" si="483"/>
        <v>85</v>
      </c>
      <c r="I827" s="6">
        <f t="shared" si="461"/>
        <v>100</v>
      </c>
    </row>
    <row r="828" spans="1:9" ht="15.75" customHeight="1" x14ac:dyDescent="0.25">
      <c r="A828" s="45" t="s">
        <v>539</v>
      </c>
      <c r="B828" s="20" t="s">
        <v>1107</v>
      </c>
      <c r="C828" s="40" t="s">
        <v>250</v>
      </c>
      <c r="D828" s="40" t="s">
        <v>229</v>
      </c>
      <c r="E828" s="40"/>
      <c r="F828" s="2"/>
      <c r="G828" s="10">
        <f>G829</f>
        <v>85</v>
      </c>
      <c r="H828" s="335">
        <f t="shared" si="483"/>
        <v>85</v>
      </c>
      <c r="I828" s="6">
        <f t="shared" si="461"/>
        <v>100</v>
      </c>
    </row>
    <row r="829" spans="1:9" ht="31.7" customHeight="1" x14ac:dyDescent="0.25">
      <c r="A829" s="31" t="s">
        <v>147</v>
      </c>
      <c r="B829" s="20" t="s">
        <v>1107</v>
      </c>
      <c r="C829" s="40" t="s">
        <v>250</v>
      </c>
      <c r="D829" s="40" t="s">
        <v>229</v>
      </c>
      <c r="E829" s="40" t="s">
        <v>148</v>
      </c>
      <c r="F829" s="2"/>
      <c r="G829" s="10">
        <f t="shared" ref="G829:H829" si="484">G830</f>
        <v>85</v>
      </c>
      <c r="H829" s="335">
        <f t="shared" si="484"/>
        <v>85</v>
      </c>
      <c r="I829" s="6">
        <f t="shared" si="461"/>
        <v>100</v>
      </c>
    </row>
    <row r="830" spans="1:9" ht="31.7" customHeight="1" x14ac:dyDescent="0.25">
      <c r="A830" s="31" t="s">
        <v>149</v>
      </c>
      <c r="B830" s="20" t="s">
        <v>1107</v>
      </c>
      <c r="C830" s="40" t="s">
        <v>250</v>
      </c>
      <c r="D830" s="40" t="s">
        <v>229</v>
      </c>
      <c r="E830" s="40" t="s">
        <v>150</v>
      </c>
      <c r="F830" s="2"/>
      <c r="G830" s="10">
        <f>'Пр.3 Рд,пр, ЦС,ВР 20'!F389</f>
        <v>85</v>
      </c>
      <c r="H830" s="335">
        <f>'Пр.3 Рд,пр, ЦС,ВР 20'!G389</f>
        <v>85</v>
      </c>
      <c r="I830" s="6">
        <f t="shared" si="461"/>
        <v>100</v>
      </c>
    </row>
    <row r="831" spans="1:9" s="217" customFormat="1" ht="31.7" customHeight="1" x14ac:dyDescent="0.25">
      <c r="A831" s="45" t="s">
        <v>640</v>
      </c>
      <c r="B831" s="20" t="s">
        <v>1107</v>
      </c>
      <c r="C831" s="40" t="s">
        <v>250</v>
      </c>
      <c r="D831" s="40" t="s">
        <v>229</v>
      </c>
      <c r="E831" s="40" t="s">
        <v>150</v>
      </c>
      <c r="F831" s="2">
        <v>908</v>
      </c>
      <c r="G831" s="6">
        <f>G830</f>
        <v>85</v>
      </c>
      <c r="H831" s="6">
        <f t="shared" ref="H831" si="485">H830</f>
        <v>85</v>
      </c>
      <c r="I831" s="6">
        <f t="shared" si="461"/>
        <v>100</v>
      </c>
    </row>
    <row r="832" spans="1:9" s="217" customFormat="1" ht="15.75" hidden="1" customHeight="1" x14ac:dyDescent="0.25">
      <c r="A832" s="58" t="s">
        <v>1105</v>
      </c>
      <c r="B832" s="24" t="s">
        <v>1106</v>
      </c>
      <c r="C832" s="40"/>
      <c r="D832" s="40"/>
      <c r="E832" s="40"/>
      <c r="F832" s="2"/>
      <c r="G832" s="59">
        <f>G833</f>
        <v>0</v>
      </c>
      <c r="H832" s="347">
        <f t="shared" ref="H832" si="486">H833</f>
        <v>0</v>
      </c>
      <c r="I832" s="6" t="e">
        <f t="shared" si="461"/>
        <v>#DIV/0!</v>
      </c>
    </row>
    <row r="833" spans="1:9" s="217" customFormat="1" ht="15.75" hidden="1" customHeight="1" x14ac:dyDescent="0.25">
      <c r="A833" s="29" t="s">
        <v>406</v>
      </c>
      <c r="B833" s="40" t="s">
        <v>1106</v>
      </c>
      <c r="C833" s="40" t="s">
        <v>250</v>
      </c>
      <c r="D833" s="40"/>
      <c r="E833" s="73"/>
      <c r="F833" s="2"/>
      <c r="G833" s="10">
        <f t="shared" ref="G833:H835" si="487">G834</f>
        <v>0</v>
      </c>
      <c r="H833" s="335">
        <f t="shared" si="487"/>
        <v>0</v>
      </c>
      <c r="I833" s="6" t="e">
        <f t="shared" si="461"/>
        <v>#DIV/0!</v>
      </c>
    </row>
    <row r="834" spans="1:9" s="217" customFormat="1" ht="15.75" hidden="1" customHeight="1" x14ac:dyDescent="0.25">
      <c r="A834" s="29" t="s">
        <v>533</v>
      </c>
      <c r="B834" s="40" t="s">
        <v>1106</v>
      </c>
      <c r="C834" s="40" t="s">
        <v>250</v>
      </c>
      <c r="D834" s="40" t="s">
        <v>229</v>
      </c>
      <c r="E834" s="73"/>
      <c r="F834" s="2"/>
      <c r="G834" s="10">
        <f>G835</f>
        <v>0</v>
      </c>
      <c r="H834" s="335">
        <f t="shared" si="487"/>
        <v>0</v>
      </c>
      <c r="I834" s="6" t="e">
        <f t="shared" si="461"/>
        <v>#DIV/0!</v>
      </c>
    </row>
    <row r="835" spans="1:9" ht="15.75" hidden="1" customHeight="1" x14ac:dyDescent="0.25">
      <c r="A835" s="45" t="s">
        <v>541</v>
      </c>
      <c r="B835" s="20" t="s">
        <v>1108</v>
      </c>
      <c r="C835" s="40" t="s">
        <v>250</v>
      </c>
      <c r="D835" s="40" t="s">
        <v>229</v>
      </c>
      <c r="E835" s="40"/>
      <c r="F835" s="2"/>
      <c r="G835" s="10">
        <f>G836</f>
        <v>0</v>
      </c>
      <c r="H835" s="335">
        <f t="shared" si="487"/>
        <v>0</v>
      </c>
      <c r="I835" s="6" t="e">
        <f t="shared" si="461"/>
        <v>#DIV/0!</v>
      </c>
    </row>
    <row r="836" spans="1:9" ht="31.7" hidden="1" customHeight="1" x14ac:dyDescent="0.25">
      <c r="A836" s="31" t="s">
        <v>147</v>
      </c>
      <c r="B836" s="20" t="s">
        <v>1108</v>
      </c>
      <c r="C836" s="40" t="s">
        <v>250</v>
      </c>
      <c r="D836" s="40" t="s">
        <v>229</v>
      </c>
      <c r="E836" s="40" t="s">
        <v>148</v>
      </c>
      <c r="F836" s="2"/>
      <c r="G836" s="10">
        <f t="shared" ref="G836:H836" si="488">G837</f>
        <v>0</v>
      </c>
      <c r="H836" s="335">
        <f t="shared" si="488"/>
        <v>0</v>
      </c>
      <c r="I836" s="6" t="e">
        <f t="shared" si="461"/>
        <v>#DIV/0!</v>
      </c>
    </row>
    <row r="837" spans="1:9" ht="31.7" hidden="1" customHeight="1" x14ac:dyDescent="0.25">
      <c r="A837" s="31" t="s">
        <v>149</v>
      </c>
      <c r="B837" s="20" t="s">
        <v>1108</v>
      </c>
      <c r="C837" s="40" t="s">
        <v>250</v>
      </c>
      <c r="D837" s="40" t="s">
        <v>229</v>
      </c>
      <c r="E837" s="40" t="s">
        <v>150</v>
      </c>
      <c r="F837" s="2"/>
      <c r="G837" s="10">
        <f>'Пр.3 Рд,пр, ЦС,ВР 20'!F393</f>
        <v>0</v>
      </c>
      <c r="H837" s="335">
        <f>'Пр.3 Рд,пр, ЦС,ВР 20'!G393</f>
        <v>0</v>
      </c>
      <c r="I837" s="6" t="e">
        <f t="shared" si="461"/>
        <v>#DIV/0!</v>
      </c>
    </row>
    <row r="838" spans="1:9" s="217" customFormat="1" ht="31.7" hidden="1" customHeight="1" x14ac:dyDescent="0.25">
      <c r="A838" s="45" t="s">
        <v>640</v>
      </c>
      <c r="B838" s="20" t="s">
        <v>1108</v>
      </c>
      <c r="C838" s="40" t="s">
        <v>250</v>
      </c>
      <c r="D838" s="40" t="s">
        <v>229</v>
      </c>
      <c r="E838" s="40" t="s">
        <v>150</v>
      </c>
      <c r="F838" s="2">
        <v>908</v>
      </c>
      <c r="G838" s="6">
        <f>G837</f>
        <v>0</v>
      </c>
      <c r="H838" s="6">
        <f t="shared" ref="H838" si="489">H837</f>
        <v>0</v>
      </c>
      <c r="I838" s="6" t="e">
        <f t="shared" si="461"/>
        <v>#DIV/0!</v>
      </c>
    </row>
    <row r="839" spans="1:9" s="217" customFormat="1" ht="15.75" customHeight="1" x14ac:dyDescent="0.25">
      <c r="A839" s="58" t="s">
        <v>1109</v>
      </c>
      <c r="B839" s="24" t="s">
        <v>1110</v>
      </c>
      <c r="C839" s="40"/>
      <c r="D839" s="40"/>
      <c r="E839" s="40"/>
      <c r="F839" s="2"/>
      <c r="G839" s="59">
        <f>G840</f>
        <v>44</v>
      </c>
      <c r="H839" s="347">
        <f t="shared" ref="H839:H841" si="490">H840</f>
        <v>44</v>
      </c>
      <c r="I839" s="4">
        <f t="shared" si="461"/>
        <v>100</v>
      </c>
    </row>
    <row r="840" spans="1:9" s="217" customFormat="1" ht="15.75" customHeight="1" x14ac:dyDescent="0.25">
      <c r="A840" s="29" t="s">
        <v>406</v>
      </c>
      <c r="B840" s="40" t="s">
        <v>1110</v>
      </c>
      <c r="C840" s="40" t="s">
        <v>250</v>
      </c>
      <c r="D840" s="40"/>
      <c r="E840" s="73"/>
      <c r="F840" s="2"/>
      <c r="G840" s="10">
        <f>G841</f>
        <v>44</v>
      </c>
      <c r="H840" s="335">
        <f t="shared" si="490"/>
        <v>44</v>
      </c>
      <c r="I840" s="6">
        <f t="shared" si="461"/>
        <v>100</v>
      </c>
    </row>
    <row r="841" spans="1:9" s="217" customFormat="1" ht="15.75" customHeight="1" x14ac:dyDescent="0.25">
      <c r="A841" s="29" t="s">
        <v>533</v>
      </c>
      <c r="B841" s="40" t="s">
        <v>1110</v>
      </c>
      <c r="C841" s="40" t="s">
        <v>250</v>
      </c>
      <c r="D841" s="40" t="s">
        <v>229</v>
      </c>
      <c r="E841" s="73"/>
      <c r="F841" s="2"/>
      <c r="G841" s="10">
        <f>G842</f>
        <v>44</v>
      </c>
      <c r="H841" s="335">
        <f t="shared" si="490"/>
        <v>44</v>
      </c>
      <c r="I841" s="6">
        <f t="shared" si="461"/>
        <v>100</v>
      </c>
    </row>
    <row r="842" spans="1:9" ht="15.75" x14ac:dyDescent="0.25">
      <c r="A842" s="45" t="s">
        <v>543</v>
      </c>
      <c r="B842" s="20" t="s">
        <v>1111</v>
      </c>
      <c r="C842" s="40" t="s">
        <v>250</v>
      </c>
      <c r="D842" s="40" t="s">
        <v>229</v>
      </c>
      <c r="E842" s="40"/>
      <c r="F842" s="2"/>
      <c r="G842" s="10">
        <f t="shared" ref="G842:H843" si="491">G843</f>
        <v>44</v>
      </c>
      <c r="H842" s="335">
        <f t="shared" si="491"/>
        <v>44</v>
      </c>
      <c r="I842" s="6">
        <f t="shared" si="461"/>
        <v>100</v>
      </c>
    </row>
    <row r="843" spans="1:9" ht="31.5" x14ac:dyDescent="0.25">
      <c r="A843" s="31" t="s">
        <v>147</v>
      </c>
      <c r="B843" s="20" t="s">
        <v>1111</v>
      </c>
      <c r="C843" s="40" t="s">
        <v>250</v>
      </c>
      <c r="D843" s="40" t="s">
        <v>229</v>
      </c>
      <c r="E843" s="40" t="s">
        <v>148</v>
      </c>
      <c r="F843" s="2"/>
      <c r="G843" s="10">
        <f t="shared" si="491"/>
        <v>44</v>
      </c>
      <c r="H843" s="335">
        <f t="shared" si="491"/>
        <v>44</v>
      </c>
      <c r="I843" s="6">
        <f t="shared" si="461"/>
        <v>100</v>
      </c>
    </row>
    <row r="844" spans="1:9" ht="31.5" x14ac:dyDescent="0.25">
      <c r="A844" s="31" t="s">
        <v>149</v>
      </c>
      <c r="B844" s="20" t="s">
        <v>1111</v>
      </c>
      <c r="C844" s="40" t="s">
        <v>250</v>
      </c>
      <c r="D844" s="40" t="s">
        <v>229</v>
      </c>
      <c r="E844" s="40" t="s">
        <v>150</v>
      </c>
      <c r="F844" s="2"/>
      <c r="G844" s="10">
        <f>'Пр.3 Рд,пр, ЦС,ВР 20'!F397</f>
        <v>44</v>
      </c>
      <c r="H844" s="335">
        <f>'Пр.3 Рд,пр, ЦС,ВР 20'!G397</f>
        <v>44</v>
      </c>
      <c r="I844" s="6">
        <f t="shared" si="461"/>
        <v>100</v>
      </c>
    </row>
    <row r="845" spans="1:9" s="217" customFormat="1" ht="31.5" x14ac:dyDescent="0.25">
      <c r="A845" s="45" t="s">
        <v>640</v>
      </c>
      <c r="B845" s="20" t="s">
        <v>1111</v>
      </c>
      <c r="C845" s="40" t="s">
        <v>250</v>
      </c>
      <c r="D845" s="40" t="s">
        <v>229</v>
      </c>
      <c r="E845" s="40" t="s">
        <v>150</v>
      </c>
      <c r="F845" s="2">
        <v>908</v>
      </c>
      <c r="G845" s="6">
        <f>G844</f>
        <v>44</v>
      </c>
      <c r="H845" s="6">
        <f t="shared" ref="H845" si="492">H844</f>
        <v>44</v>
      </c>
      <c r="I845" s="6">
        <f t="shared" si="461"/>
        <v>100</v>
      </c>
    </row>
    <row r="846" spans="1:9" s="217" customFormat="1" ht="31.5" hidden="1" x14ac:dyDescent="0.25">
      <c r="A846" s="34" t="s">
        <v>1172</v>
      </c>
      <c r="B846" s="24" t="s">
        <v>1173</v>
      </c>
      <c r="C846" s="40"/>
      <c r="D846" s="40"/>
      <c r="E846" s="40"/>
      <c r="F846" s="2"/>
      <c r="G846" s="59">
        <f>G847</f>
        <v>0</v>
      </c>
      <c r="H846" s="347">
        <f t="shared" ref="H846" si="493">H847</f>
        <v>0</v>
      </c>
      <c r="I846" s="6" t="e">
        <f t="shared" si="461"/>
        <v>#DIV/0!</v>
      </c>
    </row>
    <row r="847" spans="1:9" s="217" customFormat="1" ht="15.75" hidden="1" x14ac:dyDescent="0.25">
      <c r="A847" s="29" t="s">
        <v>406</v>
      </c>
      <c r="B847" s="40" t="s">
        <v>534</v>
      </c>
      <c r="C847" s="40" t="s">
        <v>250</v>
      </c>
      <c r="D847" s="40"/>
      <c r="E847" s="73"/>
      <c r="F847" s="2"/>
      <c r="G847" s="10">
        <f t="shared" ref="G847:H848" si="494">G848</f>
        <v>0</v>
      </c>
      <c r="H847" s="335">
        <f t="shared" si="494"/>
        <v>0</v>
      </c>
      <c r="I847" s="6" t="e">
        <f t="shared" si="461"/>
        <v>#DIV/0!</v>
      </c>
    </row>
    <row r="848" spans="1:9" s="217" customFormat="1" ht="15.75" hidden="1" x14ac:dyDescent="0.25">
      <c r="A848" s="29" t="s">
        <v>533</v>
      </c>
      <c r="B848" s="40" t="s">
        <v>534</v>
      </c>
      <c r="C848" s="40" t="s">
        <v>250</v>
      </c>
      <c r="D848" s="40" t="s">
        <v>229</v>
      </c>
      <c r="E848" s="73"/>
      <c r="F848" s="2"/>
      <c r="G848" s="10">
        <f>G849</f>
        <v>0</v>
      </c>
      <c r="H848" s="335">
        <f t="shared" si="494"/>
        <v>0</v>
      </c>
      <c r="I848" s="6" t="e">
        <f t="shared" si="461"/>
        <v>#DIV/0!</v>
      </c>
    </row>
    <row r="849" spans="1:9" ht="15.75" hidden="1" customHeight="1" x14ac:dyDescent="0.25">
      <c r="A849" s="45" t="s">
        <v>545</v>
      </c>
      <c r="B849" s="20" t="s">
        <v>1176</v>
      </c>
      <c r="C849" s="40" t="s">
        <v>250</v>
      </c>
      <c r="D849" s="40" t="s">
        <v>229</v>
      </c>
      <c r="E849" s="40"/>
      <c r="F849" s="2"/>
      <c r="G849" s="10">
        <f t="shared" ref="G849:H850" si="495">G850</f>
        <v>0</v>
      </c>
      <c r="H849" s="335">
        <f t="shared" si="495"/>
        <v>0</v>
      </c>
      <c r="I849" s="6" t="e">
        <f t="shared" si="461"/>
        <v>#DIV/0!</v>
      </c>
    </row>
    <row r="850" spans="1:9" ht="31.7" hidden="1" customHeight="1" x14ac:dyDescent="0.25">
      <c r="A850" s="31" t="s">
        <v>147</v>
      </c>
      <c r="B850" s="20" t="s">
        <v>1176</v>
      </c>
      <c r="C850" s="40" t="s">
        <v>250</v>
      </c>
      <c r="D850" s="40" t="s">
        <v>229</v>
      </c>
      <c r="E850" s="40" t="s">
        <v>148</v>
      </c>
      <c r="F850" s="2"/>
      <c r="G850" s="10">
        <f t="shared" si="495"/>
        <v>0</v>
      </c>
      <c r="H850" s="335">
        <f t="shared" si="495"/>
        <v>0</v>
      </c>
      <c r="I850" s="6" t="e">
        <f t="shared" si="461"/>
        <v>#DIV/0!</v>
      </c>
    </row>
    <row r="851" spans="1:9" ht="31.7" hidden="1" customHeight="1" x14ac:dyDescent="0.25">
      <c r="A851" s="31" t="s">
        <v>149</v>
      </c>
      <c r="B851" s="20" t="s">
        <v>1176</v>
      </c>
      <c r="C851" s="40" t="s">
        <v>250</v>
      </c>
      <c r="D851" s="40" t="s">
        <v>229</v>
      </c>
      <c r="E851" s="40" t="s">
        <v>150</v>
      </c>
      <c r="F851" s="2"/>
      <c r="G851" s="10">
        <f>'Пр.3 Рд,пр, ЦС,ВР 20'!F401</f>
        <v>0</v>
      </c>
      <c r="H851" s="335">
        <f>'Пр.3 Рд,пр, ЦС,ВР 20'!G401</f>
        <v>0</v>
      </c>
      <c r="I851" s="6" t="e">
        <f t="shared" ref="I851:I914" si="496">H851/G851*100</f>
        <v>#DIV/0!</v>
      </c>
    </row>
    <row r="852" spans="1:9" s="217" customFormat="1" ht="31.7" hidden="1" customHeight="1" x14ac:dyDescent="0.25">
      <c r="A852" s="45" t="s">
        <v>640</v>
      </c>
      <c r="B852" s="20" t="s">
        <v>1176</v>
      </c>
      <c r="C852" s="40" t="s">
        <v>250</v>
      </c>
      <c r="D852" s="40" t="s">
        <v>229</v>
      </c>
      <c r="E852" s="40" t="s">
        <v>150</v>
      </c>
      <c r="F852" s="2">
        <v>908</v>
      </c>
      <c r="G852" s="6">
        <f>G851</f>
        <v>0</v>
      </c>
      <c r="H852" s="6">
        <f t="shared" ref="H852" si="497">H851</f>
        <v>0</v>
      </c>
      <c r="I852" s="6" t="e">
        <f t="shared" si="496"/>
        <v>#DIV/0!</v>
      </c>
    </row>
    <row r="853" spans="1:9" s="217" customFormat="1" ht="31.7" hidden="1" customHeight="1" x14ac:dyDescent="0.25">
      <c r="A853" s="232" t="s">
        <v>1174</v>
      </c>
      <c r="B853" s="24" t="s">
        <v>1175</v>
      </c>
      <c r="C853" s="40"/>
      <c r="D853" s="40"/>
      <c r="E853" s="40"/>
      <c r="F853" s="2"/>
      <c r="G853" s="59">
        <f>G854</f>
        <v>0</v>
      </c>
      <c r="H853" s="347">
        <f t="shared" ref="H853" si="498">H854</f>
        <v>0</v>
      </c>
      <c r="I853" s="6" t="e">
        <f t="shared" si="496"/>
        <v>#DIV/0!</v>
      </c>
    </row>
    <row r="854" spans="1:9" s="217" customFormat="1" ht="16.5" hidden="1" customHeight="1" x14ac:dyDescent="0.25">
      <c r="A854" s="29" t="s">
        <v>406</v>
      </c>
      <c r="B854" s="40" t="s">
        <v>534</v>
      </c>
      <c r="C854" s="40" t="s">
        <v>250</v>
      </c>
      <c r="D854" s="40"/>
      <c r="E854" s="73"/>
      <c r="F854" s="2"/>
      <c r="G854" s="10">
        <f t="shared" ref="G854:H855" si="499">G855</f>
        <v>0</v>
      </c>
      <c r="H854" s="335">
        <f t="shared" si="499"/>
        <v>0</v>
      </c>
      <c r="I854" s="6" t="e">
        <f t="shared" si="496"/>
        <v>#DIV/0!</v>
      </c>
    </row>
    <row r="855" spans="1:9" s="217" customFormat="1" ht="19.5" hidden="1" customHeight="1" x14ac:dyDescent="0.25">
      <c r="A855" s="29" t="s">
        <v>533</v>
      </c>
      <c r="B855" s="40" t="s">
        <v>534</v>
      </c>
      <c r="C855" s="40" t="s">
        <v>250</v>
      </c>
      <c r="D855" s="40" t="s">
        <v>229</v>
      </c>
      <c r="E855" s="73"/>
      <c r="F855" s="2"/>
      <c r="G855" s="10">
        <f>G856</f>
        <v>0</v>
      </c>
      <c r="H855" s="335">
        <f t="shared" si="499"/>
        <v>0</v>
      </c>
      <c r="I855" s="6" t="e">
        <f t="shared" si="496"/>
        <v>#DIV/0!</v>
      </c>
    </row>
    <row r="856" spans="1:9" ht="31.7" hidden="1" customHeight="1" x14ac:dyDescent="0.25">
      <c r="A856" s="178" t="s">
        <v>547</v>
      </c>
      <c r="B856" s="20" t="s">
        <v>1177</v>
      </c>
      <c r="C856" s="40" t="s">
        <v>250</v>
      </c>
      <c r="D856" s="40" t="s">
        <v>229</v>
      </c>
      <c r="E856" s="40"/>
      <c r="F856" s="2"/>
      <c r="G856" s="10">
        <f t="shared" ref="G856:H857" si="500">G857</f>
        <v>0</v>
      </c>
      <c r="H856" s="335">
        <f t="shared" si="500"/>
        <v>0</v>
      </c>
      <c r="I856" s="6" t="e">
        <f t="shared" si="496"/>
        <v>#DIV/0!</v>
      </c>
    </row>
    <row r="857" spans="1:9" ht="31.7" hidden="1" customHeight="1" x14ac:dyDescent="0.25">
      <c r="A857" s="31" t="s">
        <v>147</v>
      </c>
      <c r="B857" s="20" t="s">
        <v>1177</v>
      </c>
      <c r="C857" s="40" t="s">
        <v>250</v>
      </c>
      <c r="D857" s="40" t="s">
        <v>229</v>
      </c>
      <c r="E857" s="40" t="s">
        <v>148</v>
      </c>
      <c r="F857" s="2"/>
      <c r="G857" s="10">
        <f t="shared" si="500"/>
        <v>0</v>
      </c>
      <c r="H857" s="335">
        <f t="shared" si="500"/>
        <v>0</v>
      </c>
      <c r="I857" s="6" t="e">
        <f t="shared" si="496"/>
        <v>#DIV/0!</v>
      </c>
    </row>
    <row r="858" spans="1:9" ht="31.7" hidden="1" customHeight="1" x14ac:dyDescent="0.25">
      <c r="A858" s="31" t="s">
        <v>149</v>
      </c>
      <c r="B858" s="20" t="s">
        <v>1177</v>
      </c>
      <c r="C858" s="40" t="s">
        <v>250</v>
      </c>
      <c r="D858" s="40" t="s">
        <v>229</v>
      </c>
      <c r="E858" s="40" t="s">
        <v>150</v>
      </c>
      <c r="F858" s="2"/>
      <c r="G858" s="10">
        <f>'Пр.3 Рд,пр, ЦС,ВР 20'!F405</f>
        <v>0</v>
      </c>
      <c r="H858" s="335">
        <f>'Пр.3 Рд,пр, ЦС,ВР 20'!G405</f>
        <v>0</v>
      </c>
      <c r="I858" s="6" t="e">
        <f t="shared" si="496"/>
        <v>#DIV/0!</v>
      </c>
    </row>
    <row r="859" spans="1:9" s="217" customFormat="1" ht="31.7" hidden="1" customHeight="1" x14ac:dyDescent="0.25">
      <c r="A859" s="45" t="s">
        <v>640</v>
      </c>
      <c r="B859" s="20" t="s">
        <v>1177</v>
      </c>
      <c r="C859" s="40" t="s">
        <v>250</v>
      </c>
      <c r="D859" s="40" t="s">
        <v>229</v>
      </c>
      <c r="E859" s="40" t="s">
        <v>150</v>
      </c>
      <c r="F859" s="2">
        <v>908</v>
      </c>
      <c r="G859" s="6">
        <f>G858</f>
        <v>0</v>
      </c>
      <c r="H859" s="6">
        <f t="shared" ref="H859" si="501">H858</f>
        <v>0</v>
      </c>
      <c r="I859" s="6" t="e">
        <f t="shared" si="496"/>
        <v>#DIV/0!</v>
      </c>
    </row>
    <row r="860" spans="1:9" s="217" customFormat="1" ht="31.7" hidden="1" customHeight="1" x14ac:dyDescent="0.25">
      <c r="A860" s="232" t="s">
        <v>1113</v>
      </c>
      <c r="B860" s="24" t="s">
        <v>1114</v>
      </c>
      <c r="C860" s="40"/>
      <c r="D860" s="40"/>
      <c r="E860" s="40"/>
      <c r="F860" s="2"/>
      <c r="G860" s="59">
        <f>G861</f>
        <v>0</v>
      </c>
      <c r="H860" s="347">
        <f t="shared" ref="H860:H862" si="502">H861</f>
        <v>0</v>
      </c>
      <c r="I860" s="6" t="e">
        <f t="shared" si="496"/>
        <v>#DIV/0!</v>
      </c>
    </row>
    <row r="861" spans="1:9" s="217" customFormat="1" ht="17.45" hidden="1" customHeight="1" x14ac:dyDescent="0.25">
      <c r="A861" s="29" t="s">
        <v>406</v>
      </c>
      <c r="B861" s="40" t="s">
        <v>534</v>
      </c>
      <c r="C861" s="40" t="s">
        <v>250</v>
      </c>
      <c r="D861" s="40"/>
      <c r="E861" s="73"/>
      <c r="F861" s="2"/>
      <c r="G861" s="10">
        <f>G862</f>
        <v>0</v>
      </c>
      <c r="H861" s="335">
        <f t="shared" si="502"/>
        <v>0</v>
      </c>
      <c r="I861" s="6" t="e">
        <f t="shared" si="496"/>
        <v>#DIV/0!</v>
      </c>
    </row>
    <row r="862" spans="1:9" s="217" customFormat="1" ht="20.25" hidden="1" customHeight="1" x14ac:dyDescent="0.25">
      <c r="A862" s="29" t="s">
        <v>533</v>
      </c>
      <c r="B862" s="40" t="s">
        <v>534</v>
      </c>
      <c r="C862" s="40" t="s">
        <v>250</v>
      </c>
      <c r="D862" s="40" t="s">
        <v>229</v>
      </c>
      <c r="E862" s="73"/>
      <c r="F862" s="2"/>
      <c r="G862" s="10">
        <f>G863</f>
        <v>0</v>
      </c>
      <c r="H862" s="335">
        <f t="shared" si="502"/>
        <v>0</v>
      </c>
      <c r="I862" s="6" t="e">
        <f t="shared" si="496"/>
        <v>#DIV/0!</v>
      </c>
    </row>
    <row r="863" spans="1:9" ht="15.75" hidden="1" x14ac:dyDescent="0.25">
      <c r="A863" s="178" t="s">
        <v>549</v>
      </c>
      <c r="B863" s="20" t="s">
        <v>1112</v>
      </c>
      <c r="C863" s="40" t="s">
        <v>250</v>
      </c>
      <c r="D863" s="40" t="s">
        <v>229</v>
      </c>
      <c r="E863" s="40"/>
      <c r="F863" s="2"/>
      <c r="G863" s="10">
        <f t="shared" ref="G863:H864" si="503">G864</f>
        <v>0</v>
      </c>
      <c r="H863" s="335">
        <f t="shared" si="503"/>
        <v>0</v>
      </c>
      <c r="I863" s="6" t="e">
        <f t="shared" si="496"/>
        <v>#DIV/0!</v>
      </c>
    </row>
    <row r="864" spans="1:9" ht="31.5" hidden="1" x14ac:dyDescent="0.3">
      <c r="A864" s="25" t="s">
        <v>147</v>
      </c>
      <c r="B864" s="20" t="s">
        <v>1112</v>
      </c>
      <c r="C864" s="40" t="s">
        <v>250</v>
      </c>
      <c r="D864" s="40" t="s">
        <v>229</v>
      </c>
      <c r="E864" s="2">
        <v>200</v>
      </c>
      <c r="F864" s="77"/>
      <c r="G864" s="6">
        <f t="shared" si="503"/>
        <v>0</v>
      </c>
      <c r="H864" s="6">
        <f t="shared" si="503"/>
        <v>0</v>
      </c>
      <c r="I864" s="6" t="e">
        <f t="shared" si="496"/>
        <v>#DIV/0!</v>
      </c>
    </row>
    <row r="865" spans="1:9" ht="31.5" hidden="1" x14ac:dyDescent="0.3">
      <c r="A865" s="25" t="s">
        <v>149</v>
      </c>
      <c r="B865" s="20" t="s">
        <v>1112</v>
      </c>
      <c r="C865" s="40" t="s">
        <v>250</v>
      </c>
      <c r="D865" s="40" t="s">
        <v>229</v>
      </c>
      <c r="E865" s="2">
        <v>240</v>
      </c>
      <c r="F865" s="77"/>
      <c r="G865" s="6">
        <f>'Пр.3 Рд,пр, ЦС,ВР 20'!F409</f>
        <v>0</v>
      </c>
      <c r="H865" s="6">
        <f>'Пр.3 Рд,пр, ЦС,ВР 20'!G409</f>
        <v>0</v>
      </c>
      <c r="I865" s="6" t="e">
        <f t="shared" si="496"/>
        <v>#DIV/0!</v>
      </c>
    </row>
    <row r="866" spans="1:9" ht="31.5" hidden="1" x14ac:dyDescent="0.25">
      <c r="A866" s="45" t="s">
        <v>640</v>
      </c>
      <c r="B866" s="20" t="s">
        <v>1112</v>
      </c>
      <c r="C866" s="40" t="s">
        <v>250</v>
      </c>
      <c r="D866" s="40" t="s">
        <v>229</v>
      </c>
      <c r="E866" s="2">
        <v>240</v>
      </c>
      <c r="F866" s="2">
        <v>908</v>
      </c>
      <c r="G866" s="6">
        <f>G865</f>
        <v>0</v>
      </c>
      <c r="H866" s="6">
        <f t="shared" ref="H866" si="504">H865</f>
        <v>0</v>
      </c>
      <c r="I866" s="6" t="e">
        <f t="shared" si="496"/>
        <v>#DIV/0!</v>
      </c>
    </row>
    <row r="867" spans="1:9" ht="47.25" x14ac:dyDescent="0.25">
      <c r="A867" s="23" t="s">
        <v>350</v>
      </c>
      <c r="B867" s="24" t="s">
        <v>351</v>
      </c>
      <c r="C867" s="7"/>
      <c r="D867" s="7"/>
      <c r="E867" s="3"/>
      <c r="F867" s="3"/>
      <c r="G867" s="4">
        <f>G868</f>
        <v>175</v>
      </c>
      <c r="H867" s="4">
        <f t="shared" ref="H867:H869" si="505">H868</f>
        <v>70</v>
      </c>
      <c r="I867" s="4">
        <f t="shared" si="496"/>
        <v>40</v>
      </c>
    </row>
    <row r="868" spans="1:9" s="217" customFormat="1" ht="31.5" x14ac:dyDescent="0.25">
      <c r="A868" s="23" t="s">
        <v>1225</v>
      </c>
      <c r="B868" s="24" t="s">
        <v>1226</v>
      </c>
      <c r="C868" s="7"/>
      <c r="D868" s="7"/>
      <c r="E868" s="3"/>
      <c r="F868" s="3"/>
      <c r="G868" s="4">
        <f>G869</f>
        <v>175</v>
      </c>
      <c r="H868" s="4">
        <f t="shared" si="505"/>
        <v>70</v>
      </c>
      <c r="I868" s="4">
        <f t="shared" si="496"/>
        <v>40</v>
      </c>
    </row>
    <row r="869" spans="1:9" ht="15.75" x14ac:dyDescent="0.25">
      <c r="A869" s="29" t="s">
        <v>133</v>
      </c>
      <c r="B869" s="20" t="s">
        <v>1226</v>
      </c>
      <c r="C869" s="40" t="s">
        <v>134</v>
      </c>
      <c r="D869" s="40"/>
      <c r="E869" s="2"/>
      <c r="F869" s="2"/>
      <c r="G869" s="6">
        <f>G870</f>
        <v>175</v>
      </c>
      <c r="H869" s="6">
        <f t="shared" si="505"/>
        <v>70</v>
      </c>
      <c r="I869" s="6">
        <f t="shared" si="496"/>
        <v>40</v>
      </c>
    </row>
    <row r="870" spans="1:9" ht="15.75" x14ac:dyDescent="0.25">
      <c r="A870" s="29" t="s">
        <v>155</v>
      </c>
      <c r="B870" s="20" t="s">
        <v>1226</v>
      </c>
      <c r="C870" s="40" t="s">
        <v>134</v>
      </c>
      <c r="D870" s="40" t="s">
        <v>156</v>
      </c>
      <c r="E870" s="2"/>
      <c r="F870" s="2"/>
      <c r="G870" s="6">
        <f>G871+G878+G882+G886+G890+G894+G898</f>
        <v>175</v>
      </c>
      <c r="H870" s="6">
        <f t="shared" ref="H870" si="506">H871+H878+H882+H886+H890+H894+H898</f>
        <v>70</v>
      </c>
      <c r="I870" s="6">
        <f t="shared" si="496"/>
        <v>40</v>
      </c>
    </row>
    <row r="871" spans="1:9" ht="31.5" x14ac:dyDescent="0.25">
      <c r="A871" s="25" t="s">
        <v>352</v>
      </c>
      <c r="B871" s="20" t="s">
        <v>1227</v>
      </c>
      <c r="C871" s="40" t="s">
        <v>134</v>
      </c>
      <c r="D871" s="40" t="s">
        <v>156</v>
      </c>
      <c r="E871" s="2"/>
      <c r="F871" s="2"/>
      <c r="G871" s="6">
        <f>G872+G875</f>
        <v>120</v>
      </c>
      <c r="H871" s="6">
        <f t="shared" ref="H871" si="507">H872+H875</f>
        <v>70</v>
      </c>
      <c r="I871" s="6">
        <f t="shared" si="496"/>
        <v>58.333333333333336</v>
      </c>
    </row>
    <row r="872" spans="1:9" ht="31.5" x14ac:dyDescent="0.25">
      <c r="A872" s="25" t="s">
        <v>147</v>
      </c>
      <c r="B872" s="20" t="s">
        <v>1227</v>
      </c>
      <c r="C872" s="40" t="s">
        <v>134</v>
      </c>
      <c r="D872" s="40" t="s">
        <v>156</v>
      </c>
      <c r="E872" s="2">
        <v>200</v>
      </c>
      <c r="F872" s="2"/>
      <c r="G872" s="6">
        <f t="shared" ref="G872:H872" si="508">G873</f>
        <v>50</v>
      </c>
      <c r="H872" s="6">
        <f t="shared" si="508"/>
        <v>0</v>
      </c>
      <c r="I872" s="6">
        <f t="shared" si="496"/>
        <v>0</v>
      </c>
    </row>
    <row r="873" spans="1:9" ht="31.5" x14ac:dyDescent="0.25">
      <c r="A873" s="25" t="s">
        <v>149</v>
      </c>
      <c r="B873" s="20" t="s">
        <v>1227</v>
      </c>
      <c r="C873" s="40" t="s">
        <v>134</v>
      </c>
      <c r="D873" s="40" t="s">
        <v>156</v>
      </c>
      <c r="E873" s="2">
        <v>240</v>
      </c>
      <c r="F873" s="2"/>
      <c r="G873" s="6">
        <f>'Пр.4 ведом.20'!G548</f>
        <v>50</v>
      </c>
      <c r="H873" s="6">
        <f>'Пр.4 ведом.20'!H548</f>
        <v>0</v>
      </c>
      <c r="I873" s="6">
        <f t="shared" si="496"/>
        <v>0</v>
      </c>
    </row>
    <row r="874" spans="1:9" s="217" customFormat="1" ht="31.5" x14ac:dyDescent="0.25">
      <c r="A874" s="45" t="s">
        <v>419</v>
      </c>
      <c r="B874" s="20" t="s">
        <v>1227</v>
      </c>
      <c r="C874" s="40" t="s">
        <v>134</v>
      </c>
      <c r="D874" s="40" t="s">
        <v>156</v>
      </c>
      <c r="E874" s="2">
        <v>240</v>
      </c>
      <c r="F874" s="2">
        <v>906</v>
      </c>
      <c r="G874" s="6">
        <f>G873</f>
        <v>50</v>
      </c>
      <c r="H874" s="6">
        <f t="shared" ref="H874" si="509">H873</f>
        <v>0</v>
      </c>
      <c r="I874" s="6">
        <f t="shared" si="496"/>
        <v>0</v>
      </c>
    </row>
    <row r="875" spans="1:9" s="217" customFormat="1" ht="31.5" x14ac:dyDescent="0.25">
      <c r="A875" s="25" t="s">
        <v>147</v>
      </c>
      <c r="B875" s="20" t="s">
        <v>1227</v>
      </c>
      <c r="C875" s="40" t="s">
        <v>134</v>
      </c>
      <c r="D875" s="40" t="s">
        <v>156</v>
      </c>
      <c r="E875" s="2">
        <v>200</v>
      </c>
      <c r="F875" s="2"/>
      <c r="G875" s="6">
        <f t="shared" ref="G875:H875" si="510">G876</f>
        <v>70</v>
      </c>
      <c r="H875" s="6">
        <f t="shared" si="510"/>
        <v>70</v>
      </c>
      <c r="I875" s="6">
        <f t="shared" si="496"/>
        <v>100</v>
      </c>
    </row>
    <row r="876" spans="1:9" s="217" customFormat="1" ht="31.5" x14ac:dyDescent="0.25">
      <c r="A876" s="25" t="s">
        <v>149</v>
      </c>
      <c r="B876" s="20" t="s">
        <v>1227</v>
      </c>
      <c r="C876" s="40" t="s">
        <v>134</v>
      </c>
      <c r="D876" s="40" t="s">
        <v>156</v>
      </c>
      <c r="E876" s="2">
        <v>240</v>
      </c>
      <c r="F876" s="2"/>
      <c r="G876" s="6">
        <f>'Пр.4 ведом.20'!G796</f>
        <v>70</v>
      </c>
      <c r="H876" s="6">
        <f>'Пр.4 ведом.20'!H796</f>
        <v>70</v>
      </c>
      <c r="I876" s="6">
        <f t="shared" si="496"/>
        <v>100</v>
      </c>
    </row>
    <row r="877" spans="1:9" s="217" customFormat="1" ht="31.5" x14ac:dyDescent="0.25">
      <c r="A877" s="45" t="s">
        <v>496</v>
      </c>
      <c r="B877" s="20" t="s">
        <v>1227</v>
      </c>
      <c r="C877" s="40" t="s">
        <v>134</v>
      </c>
      <c r="D877" s="40" t="s">
        <v>156</v>
      </c>
      <c r="E877" s="2">
        <v>240</v>
      </c>
      <c r="F877" s="2">
        <v>907</v>
      </c>
      <c r="G877" s="6">
        <f>G876</f>
        <v>70</v>
      </c>
      <c r="H877" s="6">
        <f t="shared" ref="H877" si="511">H876</f>
        <v>70</v>
      </c>
      <c r="I877" s="6">
        <f t="shared" si="496"/>
        <v>100</v>
      </c>
    </row>
    <row r="878" spans="1:9" s="217" customFormat="1" ht="31.5" hidden="1" x14ac:dyDescent="0.25">
      <c r="A878" s="25" t="s">
        <v>352</v>
      </c>
      <c r="B878" s="20" t="s">
        <v>1232</v>
      </c>
      <c r="C878" s="40" t="s">
        <v>134</v>
      </c>
      <c r="D878" s="40" t="s">
        <v>156</v>
      </c>
      <c r="E878" s="2"/>
      <c r="F878" s="2"/>
      <c r="G878" s="6">
        <f>G879</f>
        <v>0</v>
      </c>
      <c r="H878" s="6">
        <f t="shared" ref="H878" si="512">H879</f>
        <v>0</v>
      </c>
      <c r="I878" s="6" t="e">
        <f t="shared" si="496"/>
        <v>#DIV/0!</v>
      </c>
    </row>
    <row r="879" spans="1:9" s="217" customFormat="1" ht="31.5" hidden="1" x14ac:dyDescent="0.25">
      <c r="A879" s="25" t="s">
        <v>147</v>
      </c>
      <c r="B879" s="20" t="s">
        <v>1232</v>
      </c>
      <c r="C879" s="40" t="s">
        <v>134</v>
      </c>
      <c r="D879" s="40" t="s">
        <v>156</v>
      </c>
      <c r="E879" s="2">
        <v>200</v>
      </c>
      <c r="F879" s="2"/>
      <c r="G879" s="6">
        <f t="shared" ref="G879:H879" si="513">G880</f>
        <v>0</v>
      </c>
      <c r="H879" s="6">
        <f t="shared" si="513"/>
        <v>0</v>
      </c>
      <c r="I879" s="6" t="e">
        <f t="shared" si="496"/>
        <v>#DIV/0!</v>
      </c>
    </row>
    <row r="880" spans="1:9" s="217" customFormat="1" ht="31.5" hidden="1" x14ac:dyDescent="0.25">
      <c r="A880" s="25" t="s">
        <v>149</v>
      </c>
      <c r="B880" s="20" t="s">
        <v>1232</v>
      </c>
      <c r="C880" s="40" t="s">
        <v>134</v>
      </c>
      <c r="D880" s="40" t="s">
        <v>156</v>
      </c>
      <c r="E880" s="2">
        <v>240</v>
      </c>
      <c r="F880" s="2"/>
      <c r="G880" s="6">
        <f>'Пр.3 Рд,пр, ЦС,ВР 20'!F182</f>
        <v>0</v>
      </c>
      <c r="H880" s="6">
        <f>'Пр.3 Рд,пр, ЦС,ВР 20'!G182</f>
        <v>0</v>
      </c>
      <c r="I880" s="6" t="e">
        <f t="shared" si="496"/>
        <v>#DIV/0!</v>
      </c>
    </row>
    <row r="881" spans="1:9" s="217" customFormat="1" ht="31.5" hidden="1" x14ac:dyDescent="0.25">
      <c r="A881" s="45" t="s">
        <v>419</v>
      </c>
      <c r="B881" s="20" t="s">
        <v>1232</v>
      </c>
      <c r="C881" s="40" t="s">
        <v>134</v>
      </c>
      <c r="D881" s="40" t="s">
        <v>156</v>
      </c>
      <c r="E881" s="2">
        <v>240</v>
      </c>
      <c r="F881" s="2">
        <v>906</v>
      </c>
      <c r="G881" s="6">
        <f>G880</f>
        <v>0</v>
      </c>
      <c r="H881" s="6">
        <f t="shared" ref="H881" si="514">H880</f>
        <v>0</v>
      </c>
      <c r="I881" s="6" t="e">
        <f t="shared" si="496"/>
        <v>#DIV/0!</v>
      </c>
    </row>
    <row r="882" spans="1:9" ht="23.25" customHeight="1" x14ac:dyDescent="0.25">
      <c r="A882" s="25" t="s">
        <v>354</v>
      </c>
      <c r="B882" s="20" t="s">
        <v>1228</v>
      </c>
      <c r="C882" s="40" t="s">
        <v>134</v>
      </c>
      <c r="D882" s="40" t="s">
        <v>156</v>
      </c>
      <c r="E882" s="2"/>
      <c r="F882" s="2"/>
      <c r="G882" s="6">
        <f t="shared" ref="G882:H883" si="515">G883</f>
        <v>25</v>
      </c>
      <c r="H882" s="6">
        <f t="shared" si="515"/>
        <v>0</v>
      </c>
      <c r="I882" s="6">
        <f t="shared" si="496"/>
        <v>0</v>
      </c>
    </row>
    <row r="883" spans="1:9" ht="31.5" x14ac:dyDescent="0.25">
      <c r="A883" s="25" t="s">
        <v>147</v>
      </c>
      <c r="B883" s="20" t="s">
        <v>1228</v>
      </c>
      <c r="C883" s="40" t="s">
        <v>134</v>
      </c>
      <c r="D883" s="40" t="s">
        <v>156</v>
      </c>
      <c r="E883" s="2">
        <v>200</v>
      </c>
      <c r="F883" s="2"/>
      <c r="G883" s="6">
        <f t="shared" si="515"/>
        <v>25</v>
      </c>
      <c r="H883" s="6">
        <f t="shared" si="515"/>
        <v>0</v>
      </c>
      <c r="I883" s="6">
        <f t="shared" si="496"/>
        <v>0</v>
      </c>
    </row>
    <row r="884" spans="1:9" ht="31.5" x14ac:dyDescent="0.25">
      <c r="A884" s="25" t="s">
        <v>149</v>
      </c>
      <c r="B884" s="20" t="s">
        <v>1228</v>
      </c>
      <c r="C884" s="40" t="s">
        <v>134</v>
      </c>
      <c r="D884" s="40" t="s">
        <v>156</v>
      </c>
      <c r="E884" s="2">
        <v>240</v>
      </c>
      <c r="F884" s="2"/>
      <c r="G884" s="6">
        <f>'Пр.4 ведом.20'!G230</f>
        <v>25</v>
      </c>
      <c r="H884" s="6">
        <f>'Пр.4 ведом.20'!H230</f>
        <v>0</v>
      </c>
      <c r="I884" s="6">
        <f t="shared" si="496"/>
        <v>0</v>
      </c>
    </row>
    <row r="885" spans="1:9" s="217" customFormat="1" ht="47.25" x14ac:dyDescent="0.25">
      <c r="A885" s="45" t="s">
        <v>277</v>
      </c>
      <c r="B885" s="20" t="s">
        <v>1228</v>
      </c>
      <c r="C885" s="40" t="s">
        <v>134</v>
      </c>
      <c r="D885" s="40" t="s">
        <v>156</v>
      </c>
      <c r="E885" s="2">
        <v>240</v>
      </c>
      <c r="F885" s="2">
        <v>903</v>
      </c>
      <c r="G885" s="6">
        <f>G884</f>
        <v>25</v>
      </c>
      <c r="H885" s="6">
        <f t="shared" ref="H885" si="516">H884</f>
        <v>0</v>
      </c>
      <c r="I885" s="6">
        <f t="shared" si="496"/>
        <v>0</v>
      </c>
    </row>
    <row r="886" spans="1:9" ht="47.25" x14ac:dyDescent="0.25">
      <c r="A886" s="31" t="s">
        <v>794</v>
      </c>
      <c r="B886" s="20" t="s">
        <v>1229</v>
      </c>
      <c r="C886" s="40" t="s">
        <v>134</v>
      </c>
      <c r="D886" s="40" t="s">
        <v>156</v>
      </c>
      <c r="E886" s="2"/>
      <c r="F886" s="2"/>
      <c r="G886" s="6">
        <f t="shared" ref="G886:H887" si="517">G887</f>
        <v>10</v>
      </c>
      <c r="H886" s="6">
        <f t="shared" si="517"/>
        <v>0</v>
      </c>
      <c r="I886" s="6">
        <f t="shared" si="496"/>
        <v>0</v>
      </c>
    </row>
    <row r="887" spans="1:9" ht="31.5" x14ac:dyDescent="0.25">
      <c r="A887" s="25" t="s">
        <v>147</v>
      </c>
      <c r="B887" s="20" t="s">
        <v>1229</v>
      </c>
      <c r="C887" s="20" t="s">
        <v>134</v>
      </c>
      <c r="D887" s="20" t="s">
        <v>156</v>
      </c>
      <c r="E887" s="20" t="s">
        <v>148</v>
      </c>
      <c r="F887" s="182"/>
      <c r="G887" s="6">
        <f t="shared" si="517"/>
        <v>10</v>
      </c>
      <c r="H887" s="6">
        <f t="shared" si="517"/>
        <v>0</v>
      </c>
      <c r="I887" s="6">
        <f t="shared" si="496"/>
        <v>0</v>
      </c>
    </row>
    <row r="888" spans="1:9" ht="31.5" x14ac:dyDescent="0.25">
      <c r="A888" s="25" t="s">
        <v>149</v>
      </c>
      <c r="B888" s="20" t="s">
        <v>1229</v>
      </c>
      <c r="C888" s="20" t="s">
        <v>134</v>
      </c>
      <c r="D888" s="20" t="s">
        <v>156</v>
      </c>
      <c r="E888" s="20" t="s">
        <v>150</v>
      </c>
      <c r="F888" s="182"/>
      <c r="G888" s="6">
        <f>'Пр.4 ведом.20'!G233</f>
        <v>10</v>
      </c>
      <c r="H888" s="6">
        <f>'Пр.4 ведом.20'!H233</f>
        <v>0</v>
      </c>
      <c r="I888" s="6">
        <f t="shared" si="496"/>
        <v>0</v>
      </c>
    </row>
    <row r="889" spans="1:9" s="217" customFormat="1" ht="47.25" x14ac:dyDescent="0.25">
      <c r="A889" s="45" t="s">
        <v>277</v>
      </c>
      <c r="B889" s="20" t="s">
        <v>1229</v>
      </c>
      <c r="C889" s="40" t="s">
        <v>134</v>
      </c>
      <c r="D889" s="40" t="s">
        <v>156</v>
      </c>
      <c r="E889" s="2">
        <v>240</v>
      </c>
      <c r="F889" s="2">
        <v>903</v>
      </c>
      <c r="G889" s="6">
        <f>G888</f>
        <v>10</v>
      </c>
      <c r="H889" s="6">
        <f t="shared" ref="H889" si="518">H888</f>
        <v>0</v>
      </c>
      <c r="I889" s="6">
        <f t="shared" si="496"/>
        <v>0</v>
      </c>
    </row>
    <row r="890" spans="1:9" ht="31.5" hidden="1" x14ac:dyDescent="0.25">
      <c r="A890" s="25" t="s">
        <v>696</v>
      </c>
      <c r="B890" s="20" t="s">
        <v>1230</v>
      </c>
      <c r="C890" s="40" t="s">
        <v>134</v>
      </c>
      <c r="D890" s="40" t="s">
        <v>156</v>
      </c>
      <c r="E890" s="2"/>
      <c r="F890" s="182"/>
      <c r="G890" s="6">
        <f t="shared" ref="G890:H891" si="519">G891</f>
        <v>0</v>
      </c>
      <c r="H890" s="6">
        <f t="shared" si="519"/>
        <v>0</v>
      </c>
      <c r="I890" s="6" t="e">
        <f t="shared" si="496"/>
        <v>#DIV/0!</v>
      </c>
    </row>
    <row r="891" spans="1:9" ht="31.5" hidden="1" x14ac:dyDescent="0.25">
      <c r="A891" s="25" t="s">
        <v>147</v>
      </c>
      <c r="B891" s="20" t="s">
        <v>1230</v>
      </c>
      <c r="C891" s="40" t="s">
        <v>134</v>
      </c>
      <c r="D891" s="40" t="s">
        <v>156</v>
      </c>
      <c r="E891" s="2">
        <v>200</v>
      </c>
      <c r="F891" s="182"/>
      <c r="G891" s="6">
        <f t="shared" si="519"/>
        <v>0</v>
      </c>
      <c r="H891" s="6">
        <f t="shared" si="519"/>
        <v>0</v>
      </c>
      <c r="I891" s="6" t="e">
        <f t="shared" si="496"/>
        <v>#DIV/0!</v>
      </c>
    </row>
    <row r="892" spans="1:9" ht="31.5" hidden="1" x14ac:dyDescent="0.25">
      <c r="A892" s="25" t="s">
        <v>149</v>
      </c>
      <c r="B892" s="20" t="s">
        <v>1230</v>
      </c>
      <c r="C892" s="40" t="s">
        <v>134</v>
      </c>
      <c r="D892" s="40" t="s">
        <v>156</v>
      </c>
      <c r="E892" s="2">
        <v>240</v>
      </c>
      <c r="F892" s="182"/>
      <c r="G892" s="6">
        <f>'Пр.4 ведом.20'!G236</f>
        <v>0</v>
      </c>
      <c r="H892" s="6">
        <f>'Пр.4 ведом.20'!H236</f>
        <v>0</v>
      </c>
      <c r="I892" s="6" t="e">
        <f t="shared" si="496"/>
        <v>#DIV/0!</v>
      </c>
    </row>
    <row r="893" spans="1:9" s="217" customFormat="1" ht="47.25" hidden="1" x14ac:dyDescent="0.25">
      <c r="A893" s="45" t="s">
        <v>277</v>
      </c>
      <c r="B893" s="20" t="s">
        <v>1230</v>
      </c>
      <c r="C893" s="40" t="s">
        <v>134</v>
      </c>
      <c r="D893" s="40" t="s">
        <v>156</v>
      </c>
      <c r="E893" s="2">
        <v>240</v>
      </c>
      <c r="F893" s="2">
        <v>903</v>
      </c>
      <c r="G893" s="6">
        <f>G892</f>
        <v>0</v>
      </c>
      <c r="H893" s="6">
        <f t="shared" ref="H893" si="520">H892</f>
        <v>0</v>
      </c>
      <c r="I893" s="6" t="e">
        <f t="shared" si="496"/>
        <v>#DIV/0!</v>
      </c>
    </row>
    <row r="894" spans="1:9" s="217" customFormat="1" ht="15.75" hidden="1" x14ac:dyDescent="0.25">
      <c r="A894" s="31" t="s">
        <v>796</v>
      </c>
      <c r="B894" s="20" t="s">
        <v>1260</v>
      </c>
      <c r="C894" s="40" t="s">
        <v>134</v>
      </c>
      <c r="D894" s="40" t="s">
        <v>156</v>
      </c>
      <c r="E894" s="2"/>
      <c r="F894" s="2"/>
      <c r="G894" s="6">
        <f t="shared" ref="G894:H895" si="521">G895</f>
        <v>0</v>
      </c>
      <c r="H894" s="6">
        <f t="shared" si="521"/>
        <v>0</v>
      </c>
      <c r="I894" s="6" t="e">
        <f t="shared" si="496"/>
        <v>#DIV/0!</v>
      </c>
    </row>
    <row r="895" spans="1:9" s="217" customFormat="1" ht="31.5" hidden="1" x14ac:dyDescent="0.25">
      <c r="A895" s="25" t="s">
        <v>147</v>
      </c>
      <c r="B895" s="20" t="s">
        <v>1260</v>
      </c>
      <c r="C895" s="40" t="s">
        <v>134</v>
      </c>
      <c r="D895" s="40" t="s">
        <v>156</v>
      </c>
      <c r="E895" s="2">
        <v>200</v>
      </c>
      <c r="F895" s="2"/>
      <c r="G895" s="6">
        <f t="shared" si="521"/>
        <v>0</v>
      </c>
      <c r="H895" s="6">
        <f t="shared" si="521"/>
        <v>0</v>
      </c>
      <c r="I895" s="6" t="e">
        <f t="shared" si="496"/>
        <v>#DIV/0!</v>
      </c>
    </row>
    <row r="896" spans="1:9" s="217" customFormat="1" ht="31.5" hidden="1" x14ac:dyDescent="0.25">
      <c r="A896" s="25" t="s">
        <v>149</v>
      </c>
      <c r="B896" s="20" t="s">
        <v>1260</v>
      </c>
      <c r="C896" s="40" t="s">
        <v>134</v>
      </c>
      <c r="D896" s="40" t="s">
        <v>156</v>
      </c>
      <c r="E896" s="2">
        <v>240</v>
      </c>
      <c r="F896" s="2"/>
      <c r="G896" s="6">
        <f>'Пр.3 Рд,пр, ЦС,ВР 20'!F194</f>
        <v>0</v>
      </c>
      <c r="H896" s="6">
        <f>'Пр.3 Рд,пр, ЦС,ВР 20'!G194</f>
        <v>0</v>
      </c>
      <c r="I896" s="6" t="e">
        <f t="shared" si="496"/>
        <v>#DIV/0!</v>
      </c>
    </row>
    <row r="897" spans="1:9" s="217" customFormat="1" ht="31.5" hidden="1" x14ac:dyDescent="0.25">
      <c r="A897" s="45" t="s">
        <v>419</v>
      </c>
      <c r="B897" s="20" t="s">
        <v>1260</v>
      </c>
      <c r="C897" s="40" t="s">
        <v>134</v>
      </c>
      <c r="D897" s="40" t="s">
        <v>156</v>
      </c>
      <c r="E897" s="2">
        <v>240</v>
      </c>
      <c r="F897" s="2">
        <v>906</v>
      </c>
      <c r="G897" s="6">
        <f>G896</f>
        <v>0</v>
      </c>
      <c r="H897" s="6">
        <f t="shared" ref="H897" si="522">H896</f>
        <v>0</v>
      </c>
      <c r="I897" s="6" t="e">
        <f t="shared" si="496"/>
        <v>#DIV/0!</v>
      </c>
    </row>
    <row r="898" spans="1:9" ht="31.7" customHeight="1" x14ac:dyDescent="0.25">
      <c r="A898" s="31" t="s">
        <v>795</v>
      </c>
      <c r="B898" s="20" t="s">
        <v>1231</v>
      </c>
      <c r="C898" s="20" t="s">
        <v>134</v>
      </c>
      <c r="D898" s="20" t="s">
        <v>156</v>
      </c>
      <c r="E898" s="20"/>
      <c r="F898" s="182"/>
      <c r="G898" s="6">
        <f t="shared" ref="G898:H899" si="523">G899</f>
        <v>20</v>
      </c>
      <c r="H898" s="6">
        <f t="shared" si="523"/>
        <v>0</v>
      </c>
      <c r="I898" s="6">
        <f t="shared" si="496"/>
        <v>0</v>
      </c>
    </row>
    <row r="899" spans="1:9" ht="31.7" customHeight="1" x14ac:dyDescent="0.25">
      <c r="A899" s="25" t="s">
        <v>147</v>
      </c>
      <c r="B899" s="20" t="s">
        <v>1231</v>
      </c>
      <c r="C899" s="20" t="s">
        <v>134</v>
      </c>
      <c r="D899" s="20" t="s">
        <v>156</v>
      </c>
      <c r="E899" s="20" t="s">
        <v>148</v>
      </c>
      <c r="F899" s="182"/>
      <c r="G899" s="6">
        <f t="shared" si="523"/>
        <v>20</v>
      </c>
      <c r="H899" s="6">
        <f t="shared" si="523"/>
        <v>0</v>
      </c>
      <c r="I899" s="6">
        <f t="shared" si="496"/>
        <v>0</v>
      </c>
    </row>
    <row r="900" spans="1:9" ht="31.7" customHeight="1" x14ac:dyDescent="0.25">
      <c r="A900" s="25" t="s">
        <v>149</v>
      </c>
      <c r="B900" s="20" t="s">
        <v>1231</v>
      </c>
      <c r="C900" s="20" t="s">
        <v>134</v>
      </c>
      <c r="D900" s="20" t="s">
        <v>156</v>
      </c>
      <c r="E900" s="20" t="s">
        <v>150</v>
      </c>
      <c r="F900" s="182"/>
      <c r="G900" s="6">
        <f>'Пр.4 ведом.20'!G239</f>
        <v>20</v>
      </c>
      <c r="H900" s="6">
        <f>'Пр.4 ведом.20'!H239</f>
        <v>0</v>
      </c>
      <c r="I900" s="6">
        <f t="shared" si="496"/>
        <v>0</v>
      </c>
    </row>
    <row r="901" spans="1:9" ht="47.25" x14ac:dyDescent="0.25">
      <c r="A901" s="45" t="s">
        <v>277</v>
      </c>
      <c r="B901" s="20" t="s">
        <v>1231</v>
      </c>
      <c r="C901" s="20" t="s">
        <v>134</v>
      </c>
      <c r="D901" s="20" t="s">
        <v>156</v>
      </c>
      <c r="E901" s="20" t="s">
        <v>150</v>
      </c>
      <c r="F901" s="2">
        <v>903</v>
      </c>
      <c r="G901" s="6">
        <f>G900</f>
        <v>20</v>
      </c>
      <c r="H901" s="6">
        <f t="shared" ref="H901" si="524">H900</f>
        <v>0</v>
      </c>
      <c r="I901" s="6">
        <f t="shared" si="496"/>
        <v>0</v>
      </c>
    </row>
    <row r="902" spans="1:9" ht="48.75" customHeight="1" x14ac:dyDescent="0.25">
      <c r="A902" s="41" t="s">
        <v>1179</v>
      </c>
      <c r="B902" s="24" t="s">
        <v>728</v>
      </c>
      <c r="C902" s="7"/>
      <c r="D902" s="7"/>
      <c r="E902" s="3"/>
      <c r="F902" s="3"/>
      <c r="G902" s="4">
        <f>G903+G914+G953</f>
        <v>3310.3999999999996</v>
      </c>
      <c r="H902" s="4">
        <f t="shared" ref="H902" si="525">H903+H914+H953</f>
        <v>1391</v>
      </c>
      <c r="I902" s="4">
        <f t="shared" si="496"/>
        <v>42.019091348477531</v>
      </c>
    </row>
    <row r="903" spans="1:9" s="217" customFormat="1" ht="48.75" customHeight="1" x14ac:dyDescent="0.25">
      <c r="A903" s="223" t="s">
        <v>892</v>
      </c>
      <c r="B903" s="24" t="s">
        <v>898</v>
      </c>
      <c r="C903" s="7"/>
      <c r="D903" s="7"/>
      <c r="E903" s="3"/>
      <c r="F903" s="3"/>
      <c r="G903" s="4">
        <f>G904</f>
        <v>33</v>
      </c>
      <c r="H903" s="4">
        <f t="shared" ref="H903" si="526">H904</f>
        <v>0</v>
      </c>
      <c r="I903" s="4">
        <f t="shared" si="496"/>
        <v>0</v>
      </c>
    </row>
    <row r="904" spans="1:9" s="122" customFormat="1" ht="15.75" x14ac:dyDescent="0.25">
      <c r="A904" s="29" t="s">
        <v>133</v>
      </c>
      <c r="B904" s="20" t="s">
        <v>898</v>
      </c>
      <c r="C904" s="40" t="s">
        <v>134</v>
      </c>
      <c r="D904" s="40"/>
      <c r="E904" s="2"/>
      <c r="F904" s="2"/>
      <c r="G904" s="6">
        <f t="shared" ref="G904:H904" si="527">G905</f>
        <v>33</v>
      </c>
      <c r="H904" s="6">
        <f t="shared" si="527"/>
        <v>0</v>
      </c>
      <c r="I904" s="6">
        <f t="shared" si="496"/>
        <v>0</v>
      </c>
    </row>
    <row r="905" spans="1:9" s="122" customFormat="1" ht="15.75" x14ac:dyDescent="0.25">
      <c r="A905" s="29" t="s">
        <v>155</v>
      </c>
      <c r="B905" s="20" t="s">
        <v>898</v>
      </c>
      <c r="C905" s="40" t="s">
        <v>134</v>
      </c>
      <c r="D905" s="40" t="s">
        <v>156</v>
      </c>
      <c r="E905" s="2"/>
      <c r="F905" s="2"/>
      <c r="G905" s="6">
        <f>G906+G910</f>
        <v>33</v>
      </c>
      <c r="H905" s="6">
        <f t="shared" ref="H905" si="528">H906+H910</f>
        <v>0</v>
      </c>
      <c r="I905" s="6">
        <f t="shared" si="496"/>
        <v>0</v>
      </c>
    </row>
    <row r="906" spans="1:9" ht="31.5" x14ac:dyDescent="0.25">
      <c r="A906" s="99" t="s">
        <v>799</v>
      </c>
      <c r="B906" s="20" t="s">
        <v>893</v>
      </c>
      <c r="C906" s="40" t="s">
        <v>134</v>
      </c>
      <c r="D906" s="40" t="s">
        <v>156</v>
      </c>
      <c r="E906" s="2"/>
      <c r="F906" s="2"/>
      <c r="G906" s="6">
        <f t="shared" ref="G906:H907" si="529">G907</f>
        <v>28</v>
      </c>
      <c r="H906" s="6">
        <f t="shared" si="529"/>
        <v>0</v>
      </c>
      <c r="I906" s="6">
        <f t="shared" si="496"/>
        <v>0</v>
      </c>
    </row>
    <row r="907" spans="1:9" ht="31.5" x14ac:dyDescent="0.25">
      <c r="A907" s="25" t="s">
        <v>147</v>
      </c>
      <c r="B907" s="20" t="s">
        <v>893</v>
      </c>
      <c r="C907" s="40" t="s">
        <v>134</v>
      </c>
      <c r="D907" s="40" t="s">
        <v>156</v>
      </c>
      <c r="E907" s="2">
        <v>200</v>
      </c>
      <c r="F907" s="2"/>
      <c r="G907" s="6">
        <f t="shared" si="529"/>
        <v>28</v>
      </c>
      <c r="H907" s="6">
        <f t="shared" si="529"/>
        <v>0</v>
      </c>
      <c r="I907" s="6">
        <f t="shared" si="496"/>
        <v>0</v>
      </c>
    </row>
    <row r="908" spans="1:9" ht="31.5" x14ac:dyDescent="0.25">
      <c r="A908" s="25" t="s">
        <v>149</v>
      </c>
      <c r="B908" s="20" t="s">
        <v>893</v>
      </c>
      <c r="C908" s="40" t="s">
        <v>134</v>
      </c>
      <c r="D908" s="40" t="s">
        <v>156</v>
      </c>
      <c r="E908" s="2">
        <v>240</v>
      </c>
      <c r="F908" s="2"/>
      <c r="G908" s="6">
        <f>'Пр.4 ведом.20'!G119</f>
        <v>28</v>
      </c>
      <c r="H908" s="6">
        <f>'Пр.4 ведом.20'!H119</f>
        <v>0</v>
      </c>
      <c r="I908" s="6">
        <f t="shared" si="496"/>
        <v>0</v>
      </c>
    </row>
    <row r="909" spans="1:9" s="217" customFormat="1" ht="15.75" x14ac:dyDescent="0.25">
      <c r="A909" s="29" t="s">
        <v>164</v>
      </c>
      <c r="B909" s="20" t="s">
        <v>893</v>
      </c>
      <c r="C909" s="40" t="s">
        <v>134</v>
      </c>
      <c r="D909" s="40" t="s">
        <v>156</v>
      </c>
      <c r="E909" s="2">
        <v>240</v>
      </c>
      <c r="F909" s="2">
        <v>902</v>
      </c>
      <c r="G909" s="6">
        <f>G908</f>
        <v>28</v>
      </c>
      <c r="H909" s="6">
        <f t="shared" ref="H909" si="530">H908</f>
        <v>0</v>
      </c>
      <c r="I909" s="6">
        <f t="shared" si="496"/>
        <v>0</v>
      </c>
    </row>
    <row r="910" spans="1:9" s="217" customFormat="1" ht="31.5" x14ac:dyDescent="0.25">
      <c r="A910" s="99" t="s">
        <v>799</v>
      </c>
      <c r="B910" s="20" t="s">
        <v>893</v>
      </c>
      <c r="C910" s="40" t="s">
        <v>134</v>
      </c>
      <c r="D910" s="40" t="s">
        <v>156</v>
      </c>
      <c r="E910" s="2"/>
      <c r="F910" s="2"/>
      <c r="G910" s="6">
        <f>G911</f>
        <v>5</v>
      </c>
      <c r="H910" s="6">
        <f t="shared" ref="H910:H911" si="531">H911</f>
        <v>0</v>
      </c>
      <c r="I910" s="6">
        <f t="shared" si="496"/>
        <v>0</v>
      </c>
    </row>
    <row r="911" spans="1:9" s="217" customFormat="1" ht="31.5" x14ac:dyDescent="0.25">
      <c r="A911" s="25" t="s">
        <v>147</v>
      </c>
      <c r="B911" s="20" t="s">
        <v>893</v>
      </c>
      <c r="C911" s="40" t="s">
        <v>134</v>
      </c>
      <c r="D911" s="40" t="s">
        <v>156</v>
      </c>
      <c r="E911" s="2">
        <v>200</v>
      </c>
      <c r="F911" s="2"/>
      <c r="G911" s="6">
        <f>G912</f>
        <v>5</v>
      </c>
      <c r="H911" s="6">
        <f t="shared" si="531"/>
        <v>0</v>
      </c>
      <c r="I911" s="6">
        <f t="shared" si="496"/>
        <v>0</v>
      </c>
    </row>
    <row r="912" spans="1:9" s="217" customFormat="1" ht="31.5" x14ac:dyDescent="0.25">
      <c r="A912" s="25" t="s">
        <v>149</v>
      </c>
      <c r="B912" s="20" t="s">
        <v>893</v>
      </c>
      <c r="C912" s="40" t="s">
        <v>134</v>
      </c>
      <c r="D912" s="40" t="s">
        <v>156</v>
      </c>
      <c r="E912" s="2">
        <v>240</v>
      </c>
      <c r="F912" s="2"/>
      <c r="G912" s="6">
        <f>'Пр.4 ведом.20'!G244</f>
        <v>5</v>
      </c>
      <c r="H912" s="6">
        <f>'Пр.4 ведом.20'!H244</f>
        <v>0</v>
      </c>
      <c r="I912" s="6">
        <f t="shared" si="496"/>
        <v>0</v>
      </c>
    </row>
    <row r="913" spans="1:9" s="217" customFormat="1" ht="47.25" x14ac:dyDescent="0.25">
      <c r="A913" s="25" t="s">
        <v>277</v>
      </c>
      <c r="B913" s="20" t="s">
        <v>893</v>
      </c>
      <c r="C913" s="40" t="s">
        <v>134</v>
      </c>
      <c r="D913" s="40" t="s">
        <v>156</v>
      </c>
      <c r="E913" s="2">
        <v>240</v>
      </c>
      <c r="F913" s="2">
        <v>903</v>
      </c>
      <c r="G913" s="6">
        <f>G912</f>
        <v>5</v>
      </c>
      <c r="H913" s="6">
        <f t="shared" ref="H913" si="532">H912</f>
        <v>0</v>
      </c>
      <c r="I913" s="6">
        <f t="shared" si="496"/>
        <v>0</v>
      </c>
    </row>
    <row r="914" spans="1:9" s="217" customFormat="1" ht="47.25" x14ac:dyDescent="0.25">
      <c r="A914" s="41" t="s">
        <v>949</v>
      </c>
      <c r="B914" s="24" t="s">
        <v>947</v>
      </c>
      <c r="C914" s="40"/>
      <c r="D914" s="40"/>
      <c r="E914" s="2"/>
      <c r="F914" s="2"/>
      <c r="G914" s="4">
        <f>G915+G935+G941+G947</f>
        <v>3262.3999999999996</v>
      </c>
      <c r="H914" s="4">
        <f t="shared" ref="H914" si="533">H915+H935+H941+H947</f>
        <v>1376</v>
      </c>
      <c r="I914" s="4">
        <f t="shared" si="496"/>
        <v>42.177538008827867</v>
      </c>
    </row>
    <row r="915" spans="1:9" s="217" customFormat="1" ht="15.75" x14ac:dyDescent="0.25">
      <c r="A915" s="29" t="s">
        <v>279</v>
      </c>
      <c r="B915" s="20" t="s">
        <v>947</v>
      </c>
      <c r="C915" s="40" t="s">
        <v>280</v>
      </c>
      <c r="D915" s="40"/>
      <c r="E915" s="2"/>
      <c r="F915" s="2"/>
      <c r="G915" s="6">
        <f>G916+G922+G926</f>
        <v>1815.6999999999998</v>
      </c>
      <c r="H915" s="6">
        <f t="shared" ref="H915" si="534">H916+H922+H926</f>
        <v>813.80000000000007</v>
      </c>
      <c r="I915" s="6">
        <f t="shared" ref="I915:I978" si="535">H915/G915*100</f>
        <v>44.820179545079043</v>
      </c>
    </row>
    <row r="916" spans="1:9" s="217" customFormat="1" ht="15.75" x14ac:dyDescent="0.25">
      <c r="A916" s="29" t="s">
        <v>420</v>
      </c>
      <c r="B916" s="20" t="s">
        <v>947</v>
      </c>
      <c r="C916" s="40" t="s">
        <v>280</v>
      </c>
      <c r="D916" s="40" t="s">
        <v>134</v>
      </c>
      <c r="E916" s="2"/>
      <c r="F916" s="2"/>
      <c r="G916" s="6">
        <f>G917</f>
        <v>464.3</v>
      </c>
      <c r="H916" s="6">
        <f t="shared" ref="H916:H918" si="536">H917</f>
        <v>247.3</v>
      </c>
      <c r="I916" s="6">
        <f t="shared" si="535"/>
        <v>53.262976523799267</v>
      </c>
    </row>
    <row r="917" spans="1:9" s="217" customFormat="1" ht="47.25" x14ac:dyDescent="0.25">
      <c r="A917" s="45" t="s">
        <v>803</v>
      </c>
      <c r="B917" s="20" t="s">
        <v>1027</v>
      </c>
      <c r="C917" s="40" t="s">
        <v>280</v>
      </c>
      <c r="D917" s="40" t="s">
        <v>134</v>
      </c>
      <c r="E917" s="2"/>
      <c r="F917" s="2"/>
      <c r="G917" s="6">
        <f>G918</f>
        <v>464.3</v>
      </c>
      <c r="H917" s="6">
        <f t="shared" si="536"/>
        <v>247.3</v>
      </c>
      <c r="I917" s="6">
        <f t="shared" si="535"/>
        <v>53.262976523799267</v>
      </c>
    </row>
    <row r="918" spans="1:9" s="217" customFormat="1" ht="31.5" x14ac:dyDescent="0.25">
      <c r="A918" s="29" t="s">
        <v>288</v>
      </c>
      <c r="B918" s="20" t="s">
        <v>1027</v>
      </c>
      <c r="C918" s="40" t="s">
        <v>280</v>
      </c>
      <c r="D918" s="40" t="s">
        <v>134</v>
      </c>
      <c r="E918" s="2">
        <v>600</v>
      </c>
      <c r="F918" s="2"/>
      <c r="G918" s="6">
        <f>G919</f>
        <v>464.3</v>
      </c>
      <c r="H918" s="6">
        <f t="shared" si="536"/>
        <v>247.3</v>
      </c>
      <c r="I918" s="6">
        <f t="shared" si="535"/>
        <v>53.262976523799267</v>
      </c>
    </row>
    <row r="919" spans="1:9" s="217" customFormat="1" ht="15.75" x14ac:dyDescent="0.25">
      <c r="A919" s="192" t="s">
        <v>290</v>
      </c>
      <c r="B919" s="20" t="s">
        <v>1027</v>
      </c>
      <c r="C919" s="40" t="s">
        <v>280</v>
      </c>
      <c r="D919" s="40" t="s">
        <v>134</v>
      </c>
      <c r="E919" s="2">
        <v>610</v>
      </c>
      <c r="F919" s="2"/>
      <c r="G919" s="6">
        <f>'Пр.4 ведом.20'!G623</f>
        <v>464.3</v>
      </c>
      <c r="H919" s="6">
        <f>'Пр.4 ведом.20'!H623</f>
        <v>247.3</v>
      </c>
      <c r="I919" s="6">
        <f t="shared" si="535"/>
        <v>53.262976523799267</v>
      </c>
    </row>
    <row r="920" spans="1:9" s="217" customFormat="1" ht="31.5" x14ac:dyDescent="0.25">
      <c r="A920" s="45" t="s">
        <v>419</v>
      </c>
      <c r="B920" s="20" t="s">
        <v>1027</v>
      </c>
      <c r="C920" s="40" t="s">
        <v>280</v>
      </c>
      <c r="D920" s="40" t="s">
        <v>134</v>
      </c>
      <c r="E920" s="2">
        <v>610</v>
      </c>
      <c r="F920" s="2">
        <v>906</v>
      </c>
      <c r="G920" s="6">
        <f>G919</f>
        <v>464.3</v>
      </c>
      <c r="H920" s="6">
        <f t="shared" ref="H920" si="537">H919</f>
        <v>247.3</v>
      </c>
      <c r="I920" s="6">
        <f t="shared" si="535"/>
        <v>53.262976523799267</v>
      </c>
    </row>
    <row r="921" spans="1:9" s="217" customFormat="1" ht="15.75" x14ac:dyDescent="0.25">
      <c r="A921" s="45" t="s">
        <v>441</v>
      </c>
      <c r="B921" s="20" t="s">
        <v>947</v>
      </c>
      <c r="C921" s="40" t="s">
        <v>280</v>
      </c>
      <c r="D921" s="40" t="s">
        <v>229</v>
      </c>
      <c r="E921" s="2"/>
      <c r="F921" s="2"/>
      <c r="G921" s="6">
        <f>G922</f>
        <v>723.3</v>
      </c>
      <c r="H921" s="6">
        <f t="shared" ref="H921:H923" si="538">H922</f>
        <v>286.8</v>
      </c>
      <c r="I921" s="6">
        <f t="shared" si="535"/>
        <v>39.651596847781008</v>
      </c>
    </row>
    <row r="922" spans="1:9" s="217" customFormat="1" ht="47.25" x14ac:dyDescent="0.25">
      <c r="A922" s="45" t="s">
        <v>803</v>
      </c>
      <c r="B922" s="20" t="s">
        <v>1027</v>
      </c>
      <c r="C922" s="40" t="s">
        <v>280</v>
      </c>
      <c r="D922" s="40" t="s">
        <v>229</v>
      </c>
      <c r="E922" s="2"/>
      <c r="F922" s="2"/>
      <c r="G922" s="6">
        <f>G923</f>
        <v>723.3</v>
      </c>
      <c r="H922" s="6">
        <f t="shared" si="538"/>
        <v>286.8</v>
      </c>
      <c r="I922" s="6">
        <f t="shared" si="535"/>
        <v>39.651596847781008</v>
      </c>
    </row>
    <row r="923" spans="1:9" s="217" customFormat="1" ht="31.5" x14ac:dyDescent="0.25">
      <c r="A923" s="29" t="s">
        <v>288</v>
      </c>
      <c r="B923" s="20" t="s">
        <v>1027</v>
      </c>
      <c r="C923" s="40" t="s">
        <v>280</v>
      </c>
      <c r="D923" s="40" t="s">
        <v>229</v>
      </c>
      <c r="E923" s="2">
        <v>600</v>
      </c>
      <c r="F923" s="2"/>
      <c r="G923" s="6">
        <f>G924</f>
        <v>723.3</v>
      </c>
      <c r="H923" s="6">
        <f t="shared" si="538"/>
        <v>286.8</v>
      </c>
      <c r="I923" s="6">
        <f t="shared" si="535"/>
        <v>39.651596847781008</v>
      </c>
    </row>
    <row r="924" spans="1:9" s="217" customFormat="1" ht="15.75" x14ac:dyDescent="0.25">
      <c r="A924" s="192" t="s">
        <v>290</v>
      </c>
      <c r="B924" s="20" t="s">
        <v>1027</v>
      </c>
      <c r="C924" s="40" t="s">
        <v>280</v>
      </c>
      <c r="D924" s="40" t="s">
        <v>229</v>
      </c>
      <c r="E924" s="2">
        <v>610</v>
      </c>
      <c r="F924" s="2"/>
      <c r="G924" s="6">
        <f>'Пр.4 ведом.20'!G717</f>
        <v>723.3</v>
      </c>
      <c r="H924" s="6">
        <f>'Пр.4 ведом.20'!H717</f>
        <v>286.8</v>
      </c>
      <c r="I924" s="6">
        <f t="shared" si="535"/>
        <v>39.651596847781008</v>
      </c>
    </row>
    <row r="925" spans="1:9" s="217" customFormat="1" ht="31.5" x14ac:dyDescent="0.25">
      <c r="A925" s="45" t="s">
        <v>419</v>
      </c>
      <c r="B925" s="20" t="s">
        <v>1027</v>
      </c>
      <c r="C925" s="40" t="s">
        <v>280</v>
      </c>
      <c r="D925" s="40" t="s">
        <v>229</v>
      </c>
      <c r="E925" s="2">
        <v>610</v>
      </c>
      <c r="F925" s="2">
        <v>906</v>
      </c>
      <c r="G925" s="6">
        <f>G924</f>
        <v>723.3</v>
      </c>
      <c r="H925" s="6">
        <f t="shared" ref="H925" si="539">H924</f>
        <v>286.8</v>
      </c>
      <c r="I925" s="6">
        <f t="shared" si="535"/>
        <v>39.651596847781008</v>
      </c>
    </row>
    <row r="926" spans="1:9" s="217" customFormat="1" ht="15.75" x14ac:dyDescent="0.25">
      <c r="A926" s="45" t="s">
        <v>281</v>
      </c>
      <c r="B926" s="20" t="s">
        <v>947</v>
      </c>
      <c r="C926" s="40" t="s">
        <v>280</v>
      </c>
      <c r="D926" s="40" t="s">
        <v>231</v>
      </c>
      <c r="E926" s="2"/>
      <c r="F926" s="2"/>
      <c r="G926" s="6">
        <f>G927+G931</f>
        <v>628.09999999999991</v>
      </c>
      <c r="H926" s="6">
        <f t="shared" ref="H926" si="540">H927+H931</f>
        <v>279.70000000000005</v>
      </c>
      <c r="I926" s="6">
        <f t="shared" si="535"/>
        <v>44.531125616939995</v>
      </c>
    </row>
    <row r="927" spans="1:9" s="217" customFormat="1" ht="47.25" x14ac:dyDescent="0.25">
      <c r="A927" s="45" t="s">
        <v>803</v>
      </c>
      <c r="B927" s="20" t="s">
        <v>1027</v>
      </c>
      <c r="C927" s="40" t="s">
        <v>280</v>
      </c>
      <c r="D927" s="40" t="s">
        <v>231</v>
      </c>
      <c r="E927" s="2"/>
      <c r="F927" s="2"/>
      <c r="G927" s="6">
        <f>G928</f>
        <v>300.7</v>
      </c>
      <c r="H927" s="6">
        <f t="shared" ref="H927:H928" si="541">H928</f>
        <v>149.4</v>
      </c>
      <c r="I927" s="6">
        <f t="shared" si="535"/>
        <v>49.684070502161624</v>
      </c>
    </row>
    <row r="928" spans="1:9" s="217" customFormat="1" ht="31.5" x14ac:dyDescent="0.25">
      <c r="A928" s="29" t="s">
        <v>288</v>
      </c>
      <c r="B928" s="20" t="s">
        <v>1027</v>
      </c>
      <c r="C928" s="40" t="s">
        <v>280</v>
      </c>
      <c r="D928" s="40" t="s">
        <v>231</v>
      </c>
      <c r="E928" s="2">
        <v>600</v>
      </c>
      <c r="F928" s="2"/>
      <c r="G928" s="6">
        <f>G929</f>
        <v>300.7</v>
      </c>
      <c r="H928" s="6">
        <f t="shared" si="541"/>
        <v>149.4</v>
      </c>
      <c r="I928" s="6">
        <f t="shared" si="535"/>
        <v>49.684070502161624</v>
      </c>
    </row>
    <row r="929" spans="1:9" s="217" customFormat="1" ht="15.75" x14ac:dyDescent="0.25">
      <c r="A929" s="192" t="s">
        <v>290</v>
      </c>
      <c r="B929" s="20" t="s">
        <v>1027</v>
      </c>
      <c r="C929" s="40" t="s">
        <v>280</v>
      </c>
      <c r="D929" s="40" t="s">
        <v>231</v>
      </c>
      <c r="E929" s="2">
        <v>610</v>
      </c>
      <c r="F929" s="2"/>
      <c r="G929" s="6">
        <f>'Пр.4 ведом.20'!G751</f>
        <v>300.7</v>
      </c>
      <c r="H929" s="6">
        <f>'Пр.4 ведом.20'!H751</f>
        <v>149.4</v>
      </c>
      <c r="I929" s="6">
        <f t="shared" si="535"/>
        <v>49.684070502161624</v>
      </c>
    </row>
    <row r="930" spans="1:9" s="217" customFormat="1" ht="31.5" x14ac:dyDescent="0.25">
      <c r="A930" s="45" t="s">
        <v>419</v>
      </c>
      <c r="B930" s="20" t="s">
        <v>1027</v>
      </c>
      <c r="C930" s="40" t="s">
        <v>280</v>
      </c>
      <c r="D930" s="40" t="s">
        <v>231</v>
      </c>
      <c r="E930" s="2">
        <v>610</v>
      </c>
      <c r="F930" s="2">
        <v>906</v>
      </c>
      <c r="G930" s="6">
        <f>G929</f>
        <v>300.7</v>
      </c>
      <c r="H930" s="6">
        <f t="shared" ref="H930" si="542">H929</f>
        <v>149.4</v>
      </c>
      <c r="I930" s="6">
        <f t="shared" si="535"/>
        <v>49.684070502161624</v>
      </c>
    </row>
    <row r="931" spans="1:9" s="217" customFormat="1" ht="31.5" x14ac:dyDescent="0.25">
      <c r="A931" s="99" t="s">
        <v>1157</v>
      </c>
      <c r="B931" s="20" t="s">
        <v>948</v>
      </c>
      <c r="C931" s="40" t="s">
        <v>280</v>
      </c>
      <c r="D931" s="40" t="s">
        <v>231</v>
      </c>
      <c r="E931" s="2"/>
      <c r="F931" s="2"/>
      <c r="G931" s="6">
        <f>G932</f>
        <v>327.39999999999998</v>
      </c>
      <c r="H931" s="6">
        <f t="shared" ref="H931:H932" si="543">H932</f>
        <v>130.30000000000001</v>
      </c>
      <c r="I931" s="6">
        <f t="shared" si="535"/>
        <v>39.798411728772152</v>
      </c>
    </row>
    <row r="932" spans="1:9" s="217" customFormat="1" ht="31.5" x14ac:dyDescent="0.25">
      <c r="A932" s="25" t="s">
        <v>147</v>
      </c>
      <c r="B932" s="20" t="s">
        <v>948</v>
      </c>
      <c r="C932" s="40" t="s">
        <v>280</v>
      </c>
      <c r="D932" s="40" t="s">
        <v>231</v>
      </c>
      <c r="E932" s="2">
        <v>200</v>
      </c>
      <c r="F932" s="2"/>
      <c r="G932" s="6">
        <f>G933</f>
        <v>327.39999999999998</v>
      </c>
      <c r="H932" s="6">
        <f t="shared" si="543"/>
        <v>130.30000000000001</v>
      </c>
      <c r="I932" s="6">
        <f t="shared" si="535"/>
        <v>39.798411728772152</v>
      </c>
    </row>
    <row r="933" spans="1:9" s="217" customFormat="1" ht="31.5" x14ac:dyDescent="0.25">
      <c r="A933" s="25" t="s">
        <v>149</v>
      </c>
      <c r="B933" s="20" t="s">
        <v>948</v>
      </c>
      <c r="C933" s="40" t="s">
        <v>280</v>
      </c>
      <c r="D933" s="40" t="s">
        <v>231</v>
      </c>
      <c r="E933" s="2">
        <v>240</v>
      </c>
      <c r="F933" s="2"/>
      <c r="G933" s="6">
        <f>'Пр.4 ведом.20'!G317</f>
        <v>327.39999999999998</v>
      </c>
      <c r="H933" s="6">
        <f>'Пр.4 ведом.20'!H317</f>
        <v>130.30000000000001</v>
      </c>
      <c r="I933" s="6">
        <f t="shared" si="535"/>
        <v>39.798411728772152</v>
      </c>
    </row>
    <row r="934" spans="1:9" s="217" customFormat="1" ht="47.25" x14ac:dyDescent="0.25">
      <c r="A934" s="25" t="s">
        <v>277</v>
      </c>
      <c r="B934" s="20" t="s">
        <v>948</v>
      </c>
      <c r="C934" s="40" t="s">
        <v>280</v>
      </c>
      <c r="D934" s="40" t="s">
        <v>231</v>
      </c>
      <c r="E934" s="2">
        <v>240</v>
      </c>
      <c r="F934" s="2">
        <v>903</v>
      </c>
      <c r="G934" s="6">
        <f>G933</f>
        <v>327.39999999999998</v>
      </c>
      <c r="H934" s="6">
        <f t="shared" ref="H934" si="544">H933</f>
        <v>130.30000000000001</v>
      </c>
      <c r="I934" s="6">
        <f t="shared" si="535"/>
        <v>39.798411728772152</v>
      </c>
    </row>
    <row r="935" spans="1:9" s="217" customFormat="1" ht="15.75" x14ac:dyDescent="0.25">
      <c r="A935" s="25" t="s">
        <v>314</v>
      </c>
      <c r="B935" s="20" t="s">
        <v>947</v>
      </c>
      <c r="C935" s="40" t="s">
        <v>315</v>
      </c>
      <c r="D935" s="40"/>
      <c r="E935" s="2"/>
      <c r="F935" s="2"/>
      <c r="G935" s="6">
        <f>G936</f>
        <v>834.6</v>
      </c>
      <c r="H935" s="6">
        <f t="shared" ref="H935:H938" si="545">H936</f>
        <v>337.76</v>
      </c>
      <c r="I935" s="6">
        <f t="shared" si="535"/>
        <v>40.469686077162706</v>
      </c>
    </row>
    <row r="936" spans="1:9" s="217" customFormat="1" ht="15.75" x14ac:dyDescent="0.25">
      <c r="A936" s="25" t="s">
        <v>316</v>
      </c>
      <c r="B936" s="20" t="s">
        <v>947</v>
      </c>
      <c r="C936" s="40" t="s">
        <v>315</v>
      </c>
      <c r="D936" s="40" t="s">
        <v>134</v>
      </c>
      <c r="E936" s="2"/>
      <c r="F936" s="2"/>
      <c r="G936" s="6">
        <f>G937</f>
        <v>834.6</v>
      </c>
      <c r="H936" s="6">
        <f t="shared" si="545"/>
        <v>337.76</v>
      </c>
      <c r="I936" s="6">
        <f t="shared" si="535"/>
        <v>40.469686077162706</v>
      </c>
    </row>
    <row r="937" spans="1:9" s="217" customFormat="1" ht="31.5" x14ac:dyDescent="0.25">
      <c r="A937" s="45" t="s">
        <v>801</v>
      </c>
      <c r="B937" s="20" t="s">
        <v>948</v>
      </c>
      <c r="C937" s="40" t="s">
        <v>315</v>
      </c>
      <c r="D937" s="40" t="s">
        <v>134</v>
      </c>
      <c r="E937" s="2"/>
      <c r="F937" s="2"/>
      <c r="G937" s="6">
        <f>G938</f>
        <v>834.6</v>
      </c>
      <c r="H937" s="6">
        <f t="shared" si="545"/>
        <v>337.76</v>
      </c>
      <c r="I937" s="6">
        <f t="shared" si="535"/>
        <v>40.469686077162706</v>
      </c>
    </row>
    <row r="938" spans="1:9" s="217" customFormat="1" ht="31.5" x14ac:dyDescent="0.25">
      <c r="A938" s="25" t="s">
        <v>147</v>
      </c>
      <c r="B938" s="20" t="s">
        <v>948</v>
      </c>
      <c r="C938" s="40" t="s">
        <v>315</v>
      </c>
      <c r="D938" s="40" t="s">
        <v>134</v>
      </c>
      <c r="E938" s="2">
        <v>200</v>
      </c>
      <c r="F938" s="2"/>
      <c r="G938" s="6">
        <f>G939</f>
        <v>834.6</v>
      </c>
      <c r="H938" s="6">
        <f t="shared" si="545"/>
        <v>337.76</v>
      </c>
      <c r="I938" s="6">
        <f t="shared" si="535"/>
        <v>40.469686077162706</v>
      </c>
    </row>
    <row r="939" spans="1:9" s="217" customFormat="1" ht="31.5" x14ac:dyDescent="0.25">
      <c r="A939" s="25" t="s">
        <v>149</v>
      </c>
      <c r="B939" s="20" t="s">
        <v>948</v>
      </c>
      <c r="C939" s="40" t="s">
        <v>315</v>
      </c>
      <c r="D939" s="40" t="s">
        <v>134</v>
      </c>
      <c r="E939" s="2">
        <v>240</v>
      </c>
      <c r="F939" s="2"/>
      <c r="G939" s="6">
        <f>'Пр.4 ведом.20'!G414</f>
        <v>834.6</v>
      </c>
      <c r="H939" s="6">
        <f>'Пр.4 ведом.20'!H414</f>
        <v>337.76</v>
      </c>
      <c r="I939" s="6">
        <f t="shared" si="535"/>
        <v>40.469686077162706</v>
      </c>
    </row>
    <row r="940" spans="1:9" s="217" customFormat="1" ht="47.25" x14ac:dyDescent="0.25">
      <c r="A940" s="25" t="s">
        <v>277</v>
      </c>
      <c r="B940" s="20" t="s">
        <v>948</v>
      </c>
      <c r="C940" s="40" t="s">
        <v>315</v>
      </c>
      <c r="D940" s="40" t="s">
        <v>134</v>
      </c>
      <c r="E940" s="2">
        <v>240</v>
      </c>
      <c r="F940" s="2">
        <v>903</v>
      </c>
      <c r="G940" s="6">
        <f>G939</f>
        <v>834.6</v>
      </c>
      <c r="H940" s="6">
        <f t="shared" ref="H940" si="546">H939</f>
        <v>337.76</v>
      </c>
      <c r="I940" s="6">
        <f t="shared" si="535"/>
        <v>40.469686077162706</v>
      </c>
    </row>
    <row r="941" spans="1:9" s="217" customFormat="1" ht="15.75" x14ac:dyDescent="0.25">
      <c r="A941" s="25" t="s">
        <v>506</v>
      </c>
      <c r="B941" s="20" t="s">
        <v>947</v>
      </c>
      <c r="C941" s="40" t="s">
        <v>507</v>
      </c>
      <c r="D941" s="40"/>
      <c r="E941" s="2"/>
      <c r="F941" s="2"/>
      <c r="G941" s="6">
        <f>G942</f>
        <v>540.1</v>
      </c>
      <c r="H941" s="6">
        <f t="shared" ref="H941:H944" si="547">H942</f>
        <v>194.44</v>
      </c>
      <c r="I941" s="6">
        <f t="shared" si="535"/>
        <v>36.000740603591922</v>
      </c>
    </row>
    <row r="942" spans="1:9" s="217" customFormat="1" ht="15.75" x14ac:dyDescent="0.25">
      <c r="A942" s="25" t="s">
        <v>1271</v>
      </c>
      <c r="B942" s="20" t="s">
        <v>947</v>
      </c>
      <c r="C942" s="40" t="s">
        <v>507</v>
      </c>
      <c r="D942" s="40" t="s">
        <v>134</v>
      </c>
      <c r="E942" s="2"/>
      <c r="F942" s="2"/>
      <c r="G942" s="6">
        <f>G943</f>
        <v>540.1</v>
      </c>
      <c r="H942" s="6">
        <f t="shared" si="547"/>
        <v>194.44</v>
      </c>
      <c r="I942" s="6">
        <f t="shared" si="535"/>
        <v>36.000740603591922</v>
      </c>
    </row>
    <row r="943" spans="1:9" s="217" customFormat="1" ht="47.25" x14ac:dyDescent="0.25">
      <c r="A943" s="45" t="s">
        <v>803</v>
      </c>
      <c r="B943" s="20" t="s">
        <v>1027</v>
      </c>
      <c r="C943" s="40" t="s">
        <v>507</v>
      </c>
      <c r="D943" s="40" t="s">
        <v>134</v>
      </c>
      <c r="E943" s="2"/>
      <c r="F943" s="2"/>
      <c r="G943" s="6">
        <f>G944</f>
        <v>540.1</v>
      </c>
      <c r="H943" s="6">
        <f t="shared" si="547"/>
        <v>194.44</v>
      </c>
      <c r="I943" s="6">
        <f t="shared" si="535"/>
        <v>36.000740603591922</v>
      </c>
    </row>
    <row r="944" spans="1:9" s="217" customFormat="1" ht="31.5" x14ac:dyDescent="0.25">
      <c r="A944" s="29" t="s">
        <v>288</v>
      </c>
      <c r="B944" s="20" t="s">
        <v>1027</v>
      </c>
      <c r="C944" s="40" t="s">
        <v>507</v>
      </c>
      <c r="D944" s="40" t="s">
        <v>134</v>
      </c>
      <c r="E944" s="2">
        <v>600</v>
      </c>
      <c r="F944" s="2"/>
      <c r="G944" s="6">
        <f>G945</f>
        <v>540.1</v>
      </c>
      <c r="H944" s="6">
        <f t="shared" si="547"/>
        <v>194.44</v>
      </c>
      <c r="I944" s="6">
        <f t="shared" si="535"/>
        <v>36.000740603591922</v>
      </c>
    </row>
    <row r="945" spans="1:9" s="217" customFormat="1" ht="15.75" x14ac:dyDescent="0.25">
      <c r="A945" s="192" t="s">
        <v>290</v>
      </c>
      <c r="B945" s="20" t="s">
        <v>1027</v>
      </c>
      <c r="C945" s="40" t="s">
        <v>507</v>
      </c>
      <c r="D945" s="40" t="s">
        <v>134</v>
      </c>
      <c r="E945" s="2">
        <v>610</v>
      </c>
      <c r="F945" s="2"/>
      <c r="G945" s="6">
        <f>'Пр.4 ведом.20'!G854</f>
        <v>540.1</v>
      </c>
      <c r="H945" s="6">
        <f>'Пр.4 ведом.20'!H854</f>
        <v>194.44</v>
      </c>
      <c r="I945" s="6">
        <f t="shared" si="535"/>
        <v>36.000740603591922</v>
      </c>
    </row>
    <row r="946" spans="1:9" s="217" customFormat="1" ht="31.5" x14ac:dyDescent="0.25">
      <c r="A946" s="45" t="s">
        <v>496</v>
      </c>
      <c r="B946" s="20" t="s">
        <v>1027</v>
      </c>
      <c r="C946" s="40" t="s">
        <v>507</v>
      </c>
      <c r="D946" s="40" t="s">
        <v>134</v>
      </c>
      <c r="E946" s="2">
        <v>610</v>
      </c>
      <c r="F946" s="2">
        <v>907</v>
      </c>
      <c r="G946" s="6">
        <f>G945</f>
        <v>540.1</v>
      </c>
      <c r="H946" s="6">
        <f t="shared" ref="H946" si="548">H945</f>
        <v>194.44</v>
      </c>
      <c r="I946" s="6">
        <f t="shared" si="535"/>
        <v>36.000740603591922</v>
      </c>
    </row>
    <row r="947" spans="1:9" s="217" customFormat="1" ht="15.75" x14ac:dyDescent="0.25">
      <c r="A947" s="29" t="s">
        <v>598</v>
      </c>
      <c r="B947" s="20" t="s">
        <v>947</v>
      </c>
      <c r="C947" s="40" t="s">
        <v>254</v>
      </c>
      <c r="D947" s="40"/>
      <c r="E947" s="2"/>
      <c r="F947" s="2"/>
      <c r="G947" s="6">
        <f>G948</f>
        <v>72</v>
      </c>
      <c r="H947" s="6">
        <f t="shared" ref="H947:H950" si="549">H948</f>
        <v>30</v>
      </c>
      <c r="I947" s="6">
        <f t="shared" si="535"/>
        <v>41.666666666666671</v>
      </c>
    </row>
    <row r="948" spans="1:9" s="217" customFormat="1" ht="15.75" x14ac:dyDescent="0.25">
      <c r="A948" s="29" t="s">
        <v>599</v>
      </c>
      <c r="B948" s="20" t="s">
        <v>947</v>
      </c>
      <c r="C948" s="40" t="s">
        <v>254</v>
      </c>
      <c r="D948" s="40" t="s">
        <v>229</v>
      </c>
      <c r="E948" s="2"/>
      <c r="F948" s="2"/>
      <c r="G948" s="6">
        <f>G949</f>
        <v>72</v>
      </c>
      <c r="H948" s="6">
        <f t="shared" si="549"/>
        <v>30</v>
      </c>
      <c r="I948" s="6">
        <f t="shared" si="535"/>
        <v>41.666666666666671</v>
      </c>
    </row>
    <row r="949" spans="1:9" s="217" customFormat="1" ht="31.5" x14ac:dyDescent="0.25">
      <c r="A949" s="45" t="s">
        <v>801</v>
      </c>
      <c r="B949" s="20" t="s">
        <v>948</v>
      </c>
      <c r="C949" s="40" t="s">
        <v>254</v>
      </c>
      <c r="D949" s="40" t="s">
        <v>229</v>
      </c>
      <c r="E949" s="2"/>
      <c r="F949" s="2"/>
      <c r="G949" s="6">
        <f>G950</f>
        <v>72</v>
      </c>
      <c r="H949" s="6">
        <f t="shared" si="549"/>
        <v>30</v>
      </c>
      <c r="I949" s="6">
        <f t="shared" si="535"/>
        <v>41.666666666666671</v>
      </c>
    </row>
    <row r="950" spans="1:9" s="217" customFormat="1" ht="31.5" x14ac:dyDescent="0.25">
      <c r="A950" s="25" t="s">
        <v>147</v>
      </c>
      <c r="B950" s="20" t="s">
        <v>948</v>
      </c>
      <c r="C950" s="40" t="s">
        <v>254</v>
      </c>
      <c r="D950" s="40" t="s">
        <v>229</v>
      </c>
      <c r="E950" s="2">
        <v>200</v>
      </c>
      <c r="F950" s="2"/>
      <c r="G950" s="6">
        <f>G951</f>
        <v>72</v>
      </c>
      <c r="H950" s="6">
        <f t="shared" si="549"/>
        <v>30</v>
      </c>
      <c r="I950" s="6">
        <f t="shared" si="535"/>
        <v>41.666666666666671</v>
      </c>
    </row>
    <row r="951" spans="1:9" s="217" customFormat="1" ht="31.5" x14ac:dyDescent="0.25">
      <c r="A951" s="25" t="s">
        <v>149</v>
      </c>
      <c r="B951" s="20" t="s">
        <v>948</v>
      </c>
      <c r="C951" s="40" t="s">
        <v>254</v>
      </c>
      <c r="D951" s="40" t="s">
        <v>229</v>
      </c>
      <c r="E951" s="2">
        <v>240</v>
      </c>
      <c r="F951" s="2"/>
      <c r="G951" s="6">
        <f>'Пр.4 ведом.20'!G491</f>
        <v>72</v>
      </c>
      <c r="H951" s="6">
        <f>'Пр.4 ведом.20'!H491</f>
        <v>30</v>
      </c>
      <c r="I951" s="6">
        <f t="shared" si="535"/>
        <v>41.666666666666671</v>
      </c>
    </row>
    <row r="952" spans="1:9" s="217" customFormat="1" ht="47.25" x14ac:dyDescent="0.25">
      <c r="A952" s="25" t="s">
        <v>277</v>
      </c>
      <c r="B952" s="20" t="s">
        <v>948</v>
      </c>
      <c r="C952" s="40" t="s">
        <v>254</v>
      </c>
      <c r="D952" s="40" t="s">
        <v>229</v>
      </c>
      <c r="E952" s="2">
        <v>240</v>
      </c>
      <c r="F952" s="2">
        <v>903</v>
      </c>
      <c r="G952" s="6">
        <f>G949</f>
        <v>72</v>
      </c>
      <c r="H952" s="6">
        <f t="shared" ref="H952" si="550">H949</f>
        <v>30</v>
      </c>
      <c r="I952" s="6">
        <f t="shared" si="535"/>
        <v>41.666666666666671</v>
      </c>
    </row>
    <row r="953" spans="1:9" s="217" customFormat="1" ht="31.5" x14ac:dyDescent="0.25">
      <c r="A953" s="224" t="s">
        <v>1188</v>
      </c>
      <c r="B953" s="24" t="s">
        <v>899</v>
      </c>
      <c r="C953" s="7"/>
      <c r="D953" s="7"/>
      <c r="E953" s="3"/>
      <c r="F953" s="3"/>
      <c r="G953" s="4">
        <f>G954</f>
        <v>15</v>
      </c>
      <c r="H953" s="4">
        <f t="shared" ref="H953:H955" si="551">H954</f>
        <v>15</v>
      </c>
      <c r="I953" s="4">
        <f t="shared" si="535"/>
        <v>100</v>
      </c>
    </row>
    <row r="954" spans="1:9" s="217" customFormat="1" ht="15.75" x14ac:dyDescent="0.25">
      <c r="A954" s="237" t="s">
        <v>133</v>
      </c>
      <c r="B954" s="20" t="s">
        <v>899</v>
      </c>
      <c r="C954" s="40" t="s">
        <v>134</v>
      </c>
      <c r="D954" s="40"/>
      <c r="E954" s="2"/>
      <c r="F954" s="2"/>
      <c r="G954" s="6">
        <f>G955</f>
        <v>15</v>
      </c>
      <c r="H954" s="6">
        <f t="shared" si="551"/>
        <v>15</v>
      </c>
      <c r="I954" s="6">
        <f t="shared" si="535"/>
        <v>100</v>
      </c>
    </row>
    <row r="955" spans="1:9" s="217" customFormat="1" ht="15.75" x14ac:dyDescent="0.25">
      <c r="A955" s="237" t="s">
        <v>155</v>
      </c>
      <c r="B955" s="20" t="s">
        <v>899</v>
      </c>
      <c r="C955" s="40" t="s">
        <v>134</v>
      </c>
      <c r="D955" s="40" t="s">
        <v>156</v>
      </c>
      <c r="E955" s="2"/>
      <c r="F955" s="2"/>
      <c r="G955" s="6">
        <f>G956</f>
        <v>15</v>
      </c>
      <c r="H955" s="6">
        <f t="shared" si="551"/>
        <v>15</v>
      </c>
      <c r="I955" s="6">
        <f t="shared" si="535"/>
        <v>100</v>
      </c>
    </row>
    <row r="956" spans="1:9" ht="47.25" x14ac:dyDescent="0.25">
      <c r="A956" s="276" t="s">
        <v>1158</v>
      </c>
      <c r="B956" s="20" t="s">
        <v>894</v>
      </c>
      <c r="C956" s="40" t="s">
        <v>134</v>
      </c>
      <c r="D956" s="40" t="s">
        <v>156</v>
      </c>
      <c r="E956" s="2"/>
      <c r="F956" s="2"/>
      <c r="G956" s="6">
        <f t="shared" ref="G956:H957" si="552">G957</f>
        <v>15</v>
      </c>
      <c r="H956" s="6">
        <f t="shared" si="552"/>
        <v>15</v>
      </c>
      <c r="I956" s="6">
        <f t="shared" si="535"/>
        <v>100</v>
      </c>
    </row>
    <row r="957" spans="1:9" ht="31.5" x14ac:dyDescent="0.25">
      <c r="A957" s="25" t="s">
        <v>147</v>
      </c>
      <c r="B957" s="20" t="s">
        <v>894</v>
      </c>
      <c r="C957" s="40" t="s">
        <v>134</v>
      </c>
      <c r="D957" s="40" t="s">
        <v>156</v>
      </c>
      <c r="E957" s="2">
        <v>200</v>
      </c>
      <c r="F957" s="2"/>
      <c r="G957" s="6">
        <f t="shared" si="552"/>
        <v>15</v>
      </c>
      <c r="H957" s="6">
        <f t="shared" si="552"/>
        <v>15</v>
      </c>
      <c r="I957" s="6">
        <f t="shared" si="535"/>
        <v>100</v>
      </c>
    </row>
    <row r="958" spans="1:9" ht="31.5" x14ac:dyDescent="0.25">
      <c r="A958" s="25" t="s">
        <v>149</v>
      </c>
      <c r="B958" s="20" t="s">
        <v>894</v>
      </c>
      <c r="C958" s="40" t="s">
        <v>134</v>
      </c>
      <c r="D958" s="40" t="s">
        <v>156</v>
      </c>
      <c r="E958" s="2">
        <v>240</v>
      </c>
      <c r="F958" s="2"/>
      <c r="G958" s="6">
        <f>'Пр.4 ведом.20'!G123</f>
        <v>15</v>
      </c>
      <c r="H958" s="6">
        <f>'Пр.4 ведом.20'!H123</f>
        <v>15</v>
      </c>
      <c r="I958" s="6">
        <f t="shared" si="535"/>
        <v>100</v>
      </c>
    </row>
    <row r="959" spans="1:9" ht="15.75" x14ac:dyDescent="0.25">
      <c r="A959" s="29" t="s">
        <v>164</v>
      </c>
      <c r="B959" s="20" t="s">
        <v>894</v>
      </c>
      <c r="C959" s="40" t="s">
        <v>134</v>
      </c>
      <c r="D959" s="40" t="s">
        <v>156</v>
      </c>
      <c r="E959" s="2">
        <v>240</v>
      </c>
      <c r="F959" s="2">
        <v>902</v>
      </c>
      <c r="G959" s="6">
        <f>G958</f>
        <v>15</v>
      </c>
      <c r="H959" s="6">
        <f t="shared" ref="H959" si="553">H958</f>
        <v>15</v>
      </c>
      <c r="I959" s="6">
        <f t="shared" si="535"/>
        <v>100</v>
      </c>
    </row>
    <row r="960" spans="1:9" ht="63" x14ac:dyDescent="0.25">
      <c r="A960" s="23" t="s">
        <v>822</v>
      </c>
      <c r="B960" s="24" t="s">
        <v>734</v>
      </c>
      <c r="C960" s="7"/>
      <c r="D960" s="7"/>
      <c r="E960" s="3"/>
      <c r="F960" s="3"/>
      <c r="G960" s="4">
        <f>G961</f>
        <v>401</v>
      </c>
      <c r="H960" s="4">
        <f t="shared" ref="H960:H961" si="554">H961</f>
        <v>0</v>
      </c>
      <c r="I960" s="4">
        <f t="shared" si="535"/>
        <v>0</v>
      </c>
    </row>
    <row r="961" spans="1:9" s="217" customFormat="1" ht="31.5" x14ac:dyDescent="0.25">
      <c r="A961" s="23" t="s">
        <v>1245</v>
      </c>
      <c r="B961" s="24" t="s">
        <v>1288</v>
      </c>
      <c r="C961" s="7"/>
      <c r="D961" s="7"/>
      <c r="E961" s="3"/>
      <c r="F961" s="3"/>
      <c r="G961" s="4">
        <f>G962</f>
        <v>401</v>
      </c>
      <c r="H961" s="4">
        <f t="shared" si="554"/>
        <v>0</v>
      </c>
      <c r="I961" s="4">
        <f t="shared" si="535"/>
        <v>0</v>
      </c>
    </row>
    <row r="962" spans="1:9" ht="15.75" x14ac:dyDescent="0.25">
      <c r="A962" s="25" t="s">
        <v>406</v>
      </c>
      <c r="B962" s="20" t="s">
        <v>881</v>
      </c>
      <c r="C962" s="40" t="s">
        <v>250</v>
      </c>
      <c r="D962" s="40"/>
      <c r="E962" s="2"/>
      <c r="F962" s="2"/>
      <c r="G962" s="6">
        <f t="shared" ref="G962:H965" si="555">G963</f>
        <v>401</v>
      </c>
      <c r="H962" s="6">
        <f t="shared" si="555"/>
        <v>0</v>
      </c>
      <c r="I962" s="6">
        <f t="shared" si="535"/>
        <v>0</v>
      </c>
    </row>
    <row r="963" spans="1:9" ht="15.75" x14ac:dyDescent="0.25">
      <c r="A963" s="25" t="s">
        <v>557</v>
      </c>
      <c r="B963" s="20" t="s">
        <v>881</v>
      </c>
      <c r="C963" s="40" t="s">
        <v>250</v>
      </c>
      <c r="D963" s="40" t="s">
        <v>231</v>
      </c>
      <c r="E963" s="2"/>
      <c r="F963" s="2"/>
      <c r="G963" s="6">
        <f t="shared" si="555"/>
        <v>401</v>
      </c>
      <c r="H963" s="6">
        <f t="shared" si="555"/>
        <v>0</v>
      </c>
      <c r="I963" s="6">
        <f t="shared" si="535"/>
        <v>0</v>
      </c>
    </row>
    <row r="964" spans="1:9" ht="47.25" x14ac:dyDescent="0.25">
      <c r="A964" s="80" t="s">
        <v>710</v>
      </c>
      <c r="B964" s="20" t="s">
        <v>881</v>
      </c>
      <c r="C964" s="40" t="s">
        <v>250</v>
      </c>
      <c r="D964" s="40" t="s">
        <v>231</v>
      </c>
      <c r="E964" s="2"/>
      <c r="F964" s="2"/>
      <c r="G964" s="6">
        <f t="shared" si="555"/>
        <v>401</v>
      </c>
      <c r="H964" s="6">
        <f t="shared" si="555"/>
        <v>0</v>
      </c>
      <c r="I964" s="6">
        <f t="shared" si="535"/>
        <v>0</v>
      </c>
    </row>
    <row r="965" spans="1:9" ht="31.5" x14ac:dyDescent="0.25">
      <c r="A965" s="25" t="s">
        <v>147</v>
      </c>
      <c r="B965" s="20" t="s">
        <v>881</v>
      </c>
      <c r="C965" s="40" t="s">
        <v>250</v>
      </c>
      <c r="D965" s="40" t="s">
        <v>231</v>
      </c>
      <c r="E965" s="2">
        <v>200</v>
      </c>
      <c r="F965" s="2"/>
      <c r="G965" s="6">
        <f t="shared" si="555"/>
        <v>401</v>
      </c>
      <c r="H965" s="6">
        <f t="shared" si="555"/>
        <v>0</v>
      </c>
      <c r="I965" s="6">
        <f t="shared" si="535"/>
        <v>0</v>
      </c>
    </row>
    <row r="966" spans="1:9" ht="31.5" x14ac:dyDescent="0.25">
      <c r="A966" s="25" t="s">
        <v>149</v>
      </c>
      <c r="B966" s="20" t="s">
        <v>881</v>
      </c>
      <c r="C966" s="40" t="s">
        <v>250</v>
      </c>
      <c r="D966" s="40" t="s">
        <v>231</v>
      </c>
      <c r="E966" s="2">
        <v>240</v>
      </c>
      <c r="F966" s="2"/>
      <c r="G966" s="6">
        <f>'Пр.4 ведом.20'!G1073</f>
        <v>401</v>
      </c>
      <c r="H966" s="6">
        <f>'Пр.4 ведом.20'!H1073</f>
        <v>0</v>
      </c>
      <c r="I966" s="6">
        <f t="shared" si="535"/>
        <v>0</v>
      </c>
    </row>
    <row r="967" spans="1:9" ht="31.5" x14ac:dyDescent="0.25">
      <c r="A967" s="45" t="s">
        <v>640</v>
      </c>
      <c r="B967" s="20" t="s">
        <v>881</v>
      </c>
      <c r="C967" s="40" t="s">
        <v>250</v>
      </c>
      <c r="D967" s="40" t="s">
        <v>231</v>
      </c>
      <c r="E967" s="2">
        <v>240</v>
      </c>
      <c r="F967" s="2">
        <v>908</v>
      </c>
      <c r="G967" s="6">
        <f t="shared" ref="G967:H967" si="556">G960</f>
        <v>401</v>
      </c>
      <c r="H967" s="6">
        <f t="shared" si="556"/>
        <v>0</v>
      </c>
      <c r="I967" s="6">
        <f t="shared" si="535"/>
        <v>0</v>
      </c>
    </row>
    <row r="968" spans="1:9" s="196" customFormat="1" ht="63" x14ac:dyDescent="0.25">
      <c r="A968" s="58" t="s">
        <v>1181</v>
      </c>
      <c r="B968" s="24" t="s">
        <v>806</v>
      </c>
      <c r="C968" s="7"/>
      <c r="D968" s="7"/>
      <c r="E968" s="3"/>
      <c r="F968" s="3"/>
      <c r="G968" s="4">
        <f>G970</f>
        <v>239.82</v>
      </c>
      <c r="H968" s="4">
        <f t="shared" ref="H968" si="557">H970</f>
        <v>0</v>
      </c>
      <c r="I968" s="4">
        <f t="shared" si="535"/>
        <v>0</v>
      </c>
    </row>
    <row r="969" spans="1:9" s="196" customFormat="1" ht="31.5" x14ac:dyDescent="0.25">
      <c r="A969" s="23" t="s">
        <v>1003</v>
      </c>
      <c r="B969" s="24" t="s">
        <v>1182</v>
      </c>
      <c r="C969" s="7"/>
      <c r="D969" s="7"/>
      <c r="E969" s="3"/>
      <c r="F969" s="3"/>
      <c r="G969" s="4">
        <f>G970</f>
        <v>239.82</v>
      </c>
      <c r="H969" s="4">
        <f t="shared" ref="H969:H973" si="558">H970</f>
        <v>0</v>
      </c>
      <c r="I969" s="4">
        <f t="shared" si="535"/>
        <v>0</v>
      </c>
    </row>
    <row r="970" spans="1:9" ht="15.75" x14ac:dyDescent="0.25">
      <c r="A970" s="45" t="s">
        <v>133</v>
      </c>
      <c r="B970" s="20" t="s">
        <v>1182</v>
      </c>
      <c r="C970" s="40" t="s">
        <v>134</v>
      </c>
      <c r="D970" s="40"/>
      <c r="E970" s="2"/>
      <c r="F970" s="2"/>
      <c r="G970" s="6">
        <f>G971</f>
        <v>239.82</v>
      </c>
      <c r="H970" s="6">
        <f t="shared" si="558"/>
        <v>0</v>
      </c>
      <c r="I970" s="6">
        <f t="shared" si="535"/>
        <v>0</v>
      </c>
    </row>
    <row r="971" spans="1:9" ht="15.75" x14ac:dyDescent="0.25">
      <c r="A971" s="45" t="s">
        <v>155</v>
      </c>
      <c r="B971" s="20" t="s">
        <v>1182</v>
      </c>
      <c r="C971" s="40" t="s">
        <v>134</v>
      </c>
      <c r="D971" s="40" t="s">
        <v>156</v>
      </c>
      <c r="E971" s="2"/>
      <c r="F971" s="2"/>
      <c r="G971" s="6">
        <f>G972</f>
        <v>239.82</v>
      </c>
      <c r="H971" s="6">
        <f t="shared" si="558"/>
        <v>0</v>
      </c>
      <c r="I971" s="6">
        <f t="shared" si="535"/>
        <v>0</v>
      </c>
    </row>
    <row r="972" spans="1:9" ht="31.5" x14ac:dyDescent="0.25">
      <c r="A972" s="45" t="s">
        <v>816</v>
      </c>
      <c r="B972" s="20" t="s">
        <v>1183</v>
      </c>
      <c r="C972" s="40" t="s">
        <v>134</v>
      </c>
      <c r="D972" s="40" t="s">
        <v>156</v>
      </c>
      <c r="E972" s="2"/>
      <c r="F972" s="2"/>
      <c r="G972" s="6">
        <f>G973</f>
        <v>239.82</v>
      </c>
      <c r="H972" s="6">
        <f t="shared" si="558"/>
        <v>0</v>
      </c>
      <c r="I972" s="6">
        <f t="shared" si="535"/>
        <v>0</v>
      </c>
    </row>
    <row r="973" spans="1:9" ht="31.5" x14ac:dyDescent="0.25">
      <c r="A973" s="45" t="s">
        <v>147</v>
      </c>
      <c r="B973" s="20" t="s">
        <v>1183</v>
      </c>
      <c r="C973" s="40" t="s">
        <v>134</v>
      </c>
      <c r="D973" s="40" t="s">
        <v>156</v>
      </c>
      <c r="E973" s="2">
        <v>200</v>
      </c>
      <c r="F973" s="2"/>
      <c r="G973" s="6">
        <f>G974</f>
        <v>239.82</v>
      </c>
      <c r="H973" s="6">
        <f t="shared" si="558"/>
        <v>0</v>
      </c>
      <c r="I973" s="6">
        <f t="shared" si="535"/>
        <v>0</v>
      </c>
    </row>
    <row r="974" spans="1:9" ht="31.5" x14ac:dyDescent="0.25">
      <c r="A974" s="45" t="s">
        <v>149</v>
      </c>
      <c r="B974" s="20" t="s">
        <v>1183</v>
      </c>
      <c r="C974" s="40" t="s">
        <v>134</v>
      </c>
      <c r="D974" s="40" t="s">
        <v>156</v>
      </c>
      <c r="E974" s="2">
        <v>240</v>
      </c>
      <c r="F974" s="2"/>
      <c r="G974" s="6">
        <f>'Пр.4 ведом.20'!G524</f>
        <v>239.82</v>
      </c>
      <c r="H974" s="6">
        <f>'Пр.4 ведом.20'!H524</f>
        <v>0</v>
      </c>
      <c r="I974" s="6">
        <f t="shared" si="535"/>
        <v>0</v>
      </c>
    </row>
    <row r="975" spans="1:9" ht="31.5" x14ac:dyDescent="0.25">
      <c r="A975" s="45" t="s">
        <v>403</v>
      </c>
      <c r="B975" s="20" t="s">
        <v>1183</v>
      </c>
      <c r="C975" s="40" t="s">
        <v>134</v>
      </c>
      <c r="D975" s="40" t="s">
        <v>156</v>
      </c>
      <c r="E975" s="2">
        <v>240</v>
      </c>
      <c r="F975" s="2">
        <v>905</v>
      </c>
      <c r="G975" s="6">
        <f>G968</f>
        <v>239.82</v>
      </c>
      <c r="H975" s="6">
        <f t="shared" ref="H975" si="559">H968</f>
        <v>0</v>
      </c>
      <c r="I975" s="6">
        <f t="shared" si="535"/>
        <v>0</v>
      </c>
    </row>
    <row r="976" spans="1:9" ht="78.75" x14ac:dyDescent="0.25">
      <c r="A976" s="41" t="s">
        <v>1184</v>
      </c>
      <c r="B976" s="24" t="s">
        <v>861</v>
      </c>
      <c r="C976" s="7"/>
      <c r="D976" s="7"/>
      <c r="E976" s="3"/>
      <c r="F976" s="3"/>
      <c r="G976" s="4">
        <f>G978</f>
        <v>30</v>
      </c>
      <c r="H976" s="4">
        <f t="shared" ref="H976" si="560">H978</f>
        <v>0</v>
      </c>
      <c r="I976" s="4">
        <f t="shared" si="535"/>
        <v>0</v>
      </c>
    </row>
    <row r="977" spans="1:9" s="217" customFormat="1" ht="47.25" x14ac:dyDescent="0.25">
      <c r="A977" s="225" t="s">
        <v>900</v>
      </c>
      <c r="B977" s="24" t="s">
        <v>1262</v>
      </c>
      <c r="C977" s="7"/>
      <c r="D977" s="7"/>
      <c r="E977" s="3"/>
      <c r="F977" s="3"/>
      <c r="G977" s="4">
        <f>G978</f>
        <v>30</v>
      </c>
      <c r="H977" s="4">
        <f t="shared" ref="H977:H981" si="561">H978</f>
        <v>0</v>
      </c>
      <c r="I977" s="4">
        <f t="shared" si="535"/>
        <v>0</v>
      </c>
    </row>
    <row r="978" spans="1:9" ht="15.75" x14ac:dyDescent="0.25">
      <c r="A978" s="45" t="s">
        <v>133</v>
      </c>
      <c r="B978" s="20" t="s">
        <v>1262</v>
      </c>
      <c r="C978" s="40" t="s">
        <v>134</v>
      </c>
      <c r="D978" s="40"/>
      <c r="E978" s="2"/>
      <c r="F978" s="2"/>
      <c r="G978" s="6">
        <f>G979</f>
        <v>30</v>
      </c>
      <c r="H978" s="6">
        <f t="shared" si="561"/>
        <v>0</v>
      </c>
      <c r="I978" s="6">
        <f t="shared" si="535"/>
        <v>0</v>
      </c>
    </row>
    <row r="979" spans="1:9" ht="15.75" x14ac:dyDescent="0.25">
      <c r="A979" s="45" t="s">
        <v>155</v>
      </c>
      <c r="B979" s="20" t="s">
        <v>1262</v>
      </c>
      <c r="C979" s="40" t="s">
        <v>134</v>
      </c>
      <c r="D979" s="40" t="s">
        <v>156</v>
      </c>
      <c r="E979" s="2"/>
      <c r="F979" s="2"/>
      <c r="G979" s="6">
        <f>G980</f>
        <v>30</v>
      </c>
      <c r="H979" s="6">
        <f t="shared" si="561"/>
        <v>0</v>
      </c>
      <c r="I979" s="6">
        <f t="shared" ref="I979:I1000" si="562">H979/G979*100</f>
        <v>0</v>
      </c>
    </row>
    <row r="980" spans="1:9" ht="31.5" x14ac:dyDescent="0.25">
      <c r="A980" s="98" t="s">
        <v>187</v>
      </c>
      <c r="B980" s="20" t="s">
        <v>901</v>
      </c>
      <c r="C980" s="40" t="s">
        <v>134</v>
      </c>
      <c r="D980" s="40" t="s">
        <v>156</v>
      </c>
      <c r="E980" s="2"/>
      <c r="F980" s="2"/>
      <c r="G980" s="6">
        <f>G981</f>
        <v>30</v>
      </c>
      <c r="H980" s="6">
        <f t="shared" si="561"/>
        <v>0</v>
      </c>
      <c r="I980" s="6">
        <f t="shared" si="562"/>
        <v>0</v>
      </c>
    </row>
    <row r="981" spans="1:9" ht="31.5" x14ac:dyDescent="0.25">
      <c r="A981" s="45" t="s">
        <v>147</v>
      </c>
      <c r="B981" s="20" t="s">
        <v>901</v>
      </c>
      <c r="C981" s="40" t="s">
        <v>134</v>
      </c>
      <c r="D981" s="40" t="s">
        <v>156</v>
      </c>
      <c r="E981" s="2">
        <v>200</v>
      </c>
      <c r="F981" s="2"/>
      <c r="G981" s="6">
        <f>G982</f>
        <v>30</v>
      </c>
      <c r="H981" s="6">
        <f t="shared" si="561"/>
        <v>0</v>
      </c>
      <c r="I981" s="6">
        <f t="shared" si="562"/>
        <v>0</v>
      </c>
    </row>
    <row r="982" spans="1:9" ht="31.5" x14ac:dyDescent="0.25">
      <c r="A982" s="45" t="s">
        <v>149</v>
      </c>
      <c r="B982" s="20" t="s">
        <v>901</v>
      </c>
      <c r="C982" s="40" t="s">
        <v>134</v>
      </c>
      <c r="D982" s="40" t="s">
        <v>156</v>
      </c>
      <c r="E982" s="2">
        <v>240</v>
      </c>
      <c r="F982" s="2"/>
      <c r="G982" s="6">
        <f>'Пр.4 ведом.20'!G128</f>
        <v>30</v>
      </c>
      <c r="H982" s="6">
        <f>'Пр.4 ведом.20'!H128</f>
        <v>0</v>
      </c>
      <c r="I982" s="6">
        <f t="shared" si="562"/>
        <v>0</v>
      </c>
    </row>
    <row r="983" spans="1:9" ht="15.75" x14ac:dyDescent="0.25">
      <c r="A983" s="29" t="s">
        <v>164</v>
      </c>
      <c r="B983" s="20" t="s">
        <v>901</v>
      </c>
      <c r="C983" s="40" t="s">
        <v>134</v>
      </c>
      <c r="D983" s="40" t="s">
        <v>156</v>
      </c>
      <c r="E983" s="2">
        <v>240</v>
      </c>
      <c r="F983" s="2">
        <v>902</v>
      </c>
      <c r="G983" s="6">
        <f>G976</f>
        <v>30</v>
      </c>
      <c r="H983" s="6">
        <f t="shared" ref="H983" si="563">H976</f>
        <v>0</v>
      </c>
      <c r="I983" s="6">
        <f t="shared" si="562"/>
        <v>0</v>
      </c>
    </row>
    <row r="984" spans="1:9" ht="63" x14ac:dyDescent="0.25">
      <c r="A984" s="41" t="s">
        <v>1186</v>
      </c>
      <c r="B984" s="24" t="s">
        <v>862</v>
      </c>
      <c r="C984" s="7"/>
      <c r="D984" s="7"/>
      <c r="E984" s="3"/>
      <c r="F984" s="3"/>
      <c r="G984" s="4">
        <f>G986</f>
        <v>80</v>
      </c>
      <c r="H984" s="4">
        <f t="shared" ref="H984" si="564">H986</f>
        <v>0</v>
      </c>
      <c r="I984" s="4">
        <f t="shared" si="562"/>
        <v>0</v>
      </c>
    </row>
    <row r="985" spans="1:9" s="217" customFormat="1" ht="31.5" x14ac:dyDescent="0.25">
      <c r="A985" s="58" t="s">
        <v>902</v>
      </c>
      <c r="B985" s="24" t="s">
        <v>910</v>
      </c>
      <c r="C985" s="7"/>
      <c r="D985" s="7"/>
      <c r="E985" s="3"/>
      <c r="F985" s="3"/>
      <c r="G985" s="4">
        <f>G986</f>
        <v>80</v>
      </c>
      <c r="H985" s="4">
        <f t="shared" ref="H985:H989" si="565">H986</f>
        <v>0</v>
      </c>
      <c r="I985" s="4">
        <f t="shared" si="562"/>
        <v>0</v>
      </c>
    </row>
    <row r="986" spans="1:9" ht="15.75" x14ac:dyDescent="0.25">
      <c r="A986" s="45" t="s">
        <v>133</v>
      </c>
      <c r="B986" s="20" t="s">
        <v>910</v>
      </c>
      <c r="C986" s="40" t="s">
        <v>134</v>
      </c>
      <c r="D986" s="40"/>
      <c r="E986" s="2"/>
      <c r="F986" s="2"/>
      <c r="G986" s="6">
        <f>G987</f>
        <v>80</v>
      </c>
      <c r="H986" s="6">
        <f t="shared" si="565"/>
        <v>0</v>
      </c>
      <c r="I986" s="6">
        <f t="shared" si="562"/>
        <v>0</v>
      </c>
    </row>
    <row r="987" spans="1:9" ht="15.75" x14ac:dyDescent="0.25">
      <c r="A987" s="45" t="s">
        <v>155</v>
      </c>
      <c r="B987" s="20" t="s">
        <v>910</v>
      </c>
      <c r="C987" s="40" t="s">
        <v>134</v>
      </c>
      <c r="D987" s="40" t="s">
        <v>156</v>
      </c>
      <c r="E987" s="2"/>
      <c r="F987" s="2"/>
      <c r="G987" s="6">
        <f>G988</f>
        <v>80</v>
      </c>
      <c r="H987" s="6">
        <f t="shared" si="565"/>
        <v>0</v>
      </c>
      <c r="I987" s="6">
        <f t="shared" si="562"/>
        <v>0</v>
      </c>
    </row>
    <row r="988" spans="1:9" ht="15.75" x14ac:dyDescent="0.25">
      <c r="A988" s="45" t="s">
        <v>191</v>
      </c>
      <c r="B988" s="20" t="s">
        <v>903</v>
      </c>
      <c r="C988" s="40" t="s">
        <v>134</v>
      </c>
      <c r="D988" s="40" t="s">
        <v>156</v>
      </c>
      <c r="E988" s="2"/>
      <c r="F988" s="2"/>
      <c r="G988" s="6">
        <f>G989</f>
        <v>80</v>
      </c>
      <c r="H988" s="6">
        <f t="shared" si="565"/>
        <v>0</v>
      </c>
      <c r="I988" s="6">
        <f t="shared" si="562"/>
        <v>0</v>
      </c>
    </row>
    <row r="989" spans="1:9" ht="31.5" x14ac:dyDescent="0.25">
      <c r="A989" s="45" t="s">
        <v>147</v>
      </c>
      <c r="B989" s="20" t="s">
        <v>903</v>
      </c>
      <c r="C989" s="40" t="s">
        <v>134</v>
      </c>
      <c r="D989" s="40" t="s">
        <v>156</v>
      </c>
      <c r="E989" s="2">
        <v>200</v>
      </c>
      <c r="F989" s="2"/>
      <c r="G989" s="6">
        <f>G990</f>
        <v>80</v>
      </c>
      <c r="H989" s="6">
        <f t="shared" si="565"/>
        <v>0</v>
      </c>
      <c r="I989" s="6">
        <f t="shared" si="562"/>
        <v>0</v>
      </c>
    </row>
    <row r="990" spans="1:9" ht="31.5" x14ac:dyDescent="0.25">
      <c r="A990" s="45" t="s">
        <v>149</v>
      </c>
      <c r="B990" s="20" t="s">
        <v>903</v>
      </c>
      <c r="C990" s="40" t="s">
        <v>134</v>
      </c>
      <c r="D990" s="40" t="s">
        <v>156</v>
      </c>
      <c r="E990" s="2">
        <v>240</v>
      </c>
      <c r="F990" s="2"/>
      <c r="G990" s="6">
        <f>'Пр.4 ведом.20'!G133</f>
        <v>80</v>
      </c>
      <c r="H990" s="6">
        <f>'Пр.4 ведом.20'!H133</f>
        <v>0</v>
      </c>
      <c r="I990" s="6">
        <f t="shared" si="562"/>
        <v>0</v>
      </c>
    </row>
    <row r="991" spans="1:9" ht="15.75" x14ac:dyDescent="0.25">
      <c r="A991" s="29" t="s">
        <v>164</v>
      </c>
      <c r="B991" s="20" t="s">
        <v>903</v>
      </c>
      <c r="C991" s="40" t="s">
        <v>134</v>
      </c>
      <c r="D991" s="40" t="s">
        <v>156</v>
      </c>
      <c r="E991" s="2">
        <v>240</v>
      </c>
      <c r="F991" s="2">
        <v>902</v>
      </c>
      <c r="G991" s="6">
        <f>G984</f>
        <v>80</v>
      </c>
      <c r="H991" s="6">
        <f t="shared" ref="H991" si="566">H984</f>
        <v>0</v>
      </c>
      <c r="I991" s="6">
        <f t="shared" si="562"/>
        <v>0</v>
      </c>
    </row>
    <row r="992" spans="1:9" s="217" customFormat="1" ht="47.25" hidden="1" x14ac:dyDescent="0.25">
      <c r="A992" s="23" t="s">
        <v>1363</v>
      </c>
      <c r="B992" s="24" t="s">
        <v>1362</v>
      </c>
      <c r="C992" s="40"/>
      <c r="D992" s="40"/>
      <c r="E992" s="2"/>
      <c r="F992" s="2"/>
      <c r="G992" s="4">
        <f t="shared" ref="G992:H998" si="567">G993</f>
        <v>0</v>
      </c>
      <c r="H992" s="4">
        <f t="shared" si="567"/>
        <v>0</v>
      </c>
      <c r="I992" s="6" t="e">
        <f t="shared" si="562"/>
        <v>#DIV/0!</v>
      </c>
    </row>
    <row r="993" spans="1:9" s="217" customFormat="1" ht="31.5" hidden="1" x14ac:dyDescent="0.25">
      <c r="A993" s="23" t="s">
        <v>1364</v>
      </c>
      <c r="B993" s="24" t="s">
        <v>1365</v>
      </c>
      <c r="C993" s="40"/>
      <c r="D993" s="40"/>
      <c r="E993" s="2"/>
      <c r="F993" s="2"/>
      <c r="G993" s="4">
        <f t="shared" si="567"/>
        <v>0</v>
      </c>
      <c r="H993" s="4">
        <f t="shared" si="567"/>
        <v>0</v>
      </c>
      <c r="I993" s="6" t="e">
        <f t="shared" si="562"/>
        <v>#DIV/0!</v>
      </c>
    </row>
    <row r="994" spans="1:9" s="217" customFormat="1" ht="15.75" hidden="1" x14ac:dyDescent="0.25">
      <c r="A994" s="29" t="s">
        <v>406</v>
      </c>
      <c r="B994" s="20" t="s">
        <v>1365</v>
      </c>
      <c r="C994" s="40" t="s">
        <v>250</v>
      </c>
      <c r="D994" s="40"/>
      <c r="E994" s="2"/>
      <c r="F994" s="2"/>
      <c r="G994" s="6">
        <f t="shared" si="567"/>
        <v>0</v>
      </c>
      <c r="H994" s="6">
        <f t="shared" si="567"/>
        <v>0</v>
      </c>
      <c r="I994" s="6" t="e">
        <f t="shared" si="562"/>
        <v>#DIV/0!</v>
      </c>
    </row>
    <row r="995" spans="1:9" s="217" customFormat="1" ht="15.75" hidden="1" x14ac:dyDescent="0.25">
      <c r="A995" s="29" t="s">
        <v>533</v>
      </c>
      <c r="B995" s="20" t="s">
        <v>1365</v>
      </c>
      <c r="C995" s="40" t="s">
        <v>250</v>
      </c>
      <c r="D995" s="40" t="s">
        <v>229</v>
      </c>
      <c r="E995" s="2"/>
      <c r="F995" s="2"/>
      <c r="G995" s="6">
        <f t="shared" si="567"/>
        <v>0</v>
      </c>
      <c r="H995" s="6">
        <f t="shared" si="567"/>
        <v>0</v>
      </c>
      <c r="I995" s="6" t="e">
        <f t="shared" si="562"/>
        <v>#DIV/0!</v>
      </c>
    </row>
    <row r="996" spans="1:9" s="217" customFormat="1" ht="15.75" hidden="1" x14ac:dyDescent="0.25">
      <c r="A996" s="29" t="s">
        <v>1367</v>
      </c>
      <c r="B996" s="20" t="s">
        <v>1366</v>
      </c>
      <c r="C996" s="40" t="s">
        <v>250</v>
      </c>
      <c r="D996" s="40" t="s">
        <v>229</v>
      </c>
      <c r="E996" s="2"/>
      <c r="F996" s="2"/>
      <c r="G996" s="6">
        <f t="shared" si="567"/>
        <v>0</v>
      </c>
      <c r="H996" s="6">
        <f t="shared" si="567"/>
        <v>0</v>
      </c>
      <c r="I996" s="6" t="e">
        <f t="shared" si="562"/>
        <v>#DIV/0!</v>
      </c>
    </row>
    <row r="997" spans="1:9" s="217" customFormat="1" ht="31.5" hidden="1" x14ac:dyDescent="0.25">
      <c r="A997" s="45" t="s">
        <v>147</v>
      </c>
      <c r="B997" s="20" t="s">
        <v>1366</v>
      </c>
      <c r="C997" s="40" t="s">
        <v>250</v>
      </c>
      <c r="D997" s="40" t="s">
        <v>229</v>
      </c>
      <c r="E997" s="2">
        <v>200</v>
      </c>
      <c r="F997" s="2"/>
      <c r="G997" s="6">
        <f t="shared" si="567"/>
        <v>0</v>
      </c>
      <c r="H997" s="6">
        <f t="shared" si="567"/>
        <v>0</v>
      </c>
      <c r="I997" s="6" t="e">
        <f t="shared" si="562"/>
        <v>#DIV/0!</v>
      </c>
    </row>
    <row r="998" spans="1:9" s="217" customFormat="1" ht="31.5" hidden="1" x14ac:dyDescent="0.25">
      <c r="A998" s="45" t="s">
        <v>149</v>
      </c>
      <c r="B998" s="20" t="s">
        <v>1366</v>
      </c>
      <c r="C998" s="40" t="s">
        <v>250</v>
      </c>
      <c r="D998" s="40" t="s">
        <v>229</v>
      </c>
      <c r="E998" s="2">
        <v>240</v>
      </c>
      <c r="F998" s="2"/>
      <c r="G998" s="6">
        <f t="shared" si="567"/>
        <v>0</v>
      </c>
      <c r="H998" s="6">
        <f t="shared" si="567"/>
        <v>0</v>
      </c>
      <c r="I998" s="6" t="e">
        <f t="shared" si="562"/>
        <v>#DIV/0!</v>
      </c>
    </row>
    <row r="999" spans="1:9" s="217" customFormat="1" ht="47.25" hidden="1" x14ac:dyDescent="0.25">
      <c r="A999" s="29" t="s">
        <v>1307</v>
      </c>
      <c r="B999" s="20" t="s">
        <v>1366</v>
      </c>
      <c r="C999" s="40" t="s">
        <v>250</v>
      </c>
      <c r="D999" s="40" t="s">
        <v>229</v>
      </c>
      <c r="E999" s="2">
        <v>240</v>
      </c>
      <c r="F999" s="2">
        <v>908</v>
      </c>
      <c r="G999" s="6">
        <f>'Пр.4 ведом.20'!G1022</f>
        <v>0</v>
      </c>
      <c r="H999" s="6">
        <f>'Пр.4 ведом.20'!H1022</f>
        <v>0</v>
      </c>
      <c r="I999" s="6" t="e">
        <f t="shared" si="562"/>
        <v>#DIV/0!</v>
      </c>
    </row>
    <row r="1000" spans="1:9" ht="15.75" x14ac:dyDescent="0.25">
      <c r="A1000" s="72" t="s">
        <v>674</v>
      </c>
      <c r="B1000" s="72"/>
      <c r="C1000" s="72"/>
      <c r="D1000" s="72"/>
      <c r="E1000" s="72"/>
      <c r="F1000" s="72"/>
      <c r="G1000" s="121">
        <f>G984+G976+G968+G960+G902+G867+G798+G741+G710+G549+G470+G462+G424+G412+G164+G31+G11+G817+G992</f>
        <v>484102.66240000015</v>
      </c>
      <c r="H1000" s="121">
        <f t="shared" ref="H1000" si="568">H984+H976+H968+H960+H902+H867+H798+H741+H710+H549+H470+H462+H424+H412+H164+H31+H11+H817+H992</f>
        <v>227818.38</v>
      </c>
      <c r="I1000" s="4">
        <f t="shared" si="562"/>
        <v>47.059931228339373</v>
      </c>
    </row>
    <row r="1002" spans="1:9" hidden="1" x14ac:dyDescent="0.25">
      <c r="G1002" s="219">
        <f>'Пр.4 ведом.20'!G1217</f>
        <v>484102.66240000015</v>
      </c>
      <c r="H1002" s="219">
        <f>'Пр.4 ведом.20'!H1217</f>
        <v>0</v>
      </c>
      <c r="I1002" s="219">
        <f>'Пр.4 ведом.20'!I1217</f>
        <v>0</v>
      </c>
    </row>
    <row r="1003" spans="1:9" hidden="1" x14ac:dyDescent="0.25">
      <c r="G1003" s="219">
        <f>G1002-G1000</f>
        <v>0</v>
      </c>
      <c r="H1003" s="219">
        <f t="shared" ref="H1003:I1003" si="569">H1002-H1000</f>
        <v>-227818.38</v>
      </c>
      <c r="I1003" s="219">
        <f t="shared" si="569"/>
        <v>-47.059931228339373</v>
      </c>
    </row>
    <row r="1004" spans="1:9" hidden="1" x14ac:dyDescent="0.25"/>
  </sheetData>
  <mergeCells count="1">
    <mergeCell ref="A7:I7"/>
  </mergeCells>
  <pageMargins left="0.23622047244094491" right="0.23622047244094491" top="0.74803149606299213" bottom="0.74803149606299213" header="0.31496062992125984" footer="0.31496062992125984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7"/>
  <sheetViews>
    <sheetView view="pageBreakPreview" zoomScaleNormal="100" zoomScaleSheetLayoutView="100" workbookViewId="0">
      <selection activeCell="H2" sqref="H2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1.140625" customWidth="1"/>
    <col min="8" max="8" width="12.28515625" customWidth="1"/>
  </cols>
  <sheetData>
    <row r="1" spans="1:8" ht="15.75" x14ac:dyDescent="0.25">
      <c r="A1" s="218"/>
      <c r="B1" s="218"/>
      <c r="C1" s="218"/>
      <c r="D1" s="218"/>
      <c r="E1" s="218"/>
      <c r="F1" s="218"/>
      <c r="G1" s="218"/>
      <c r="H1" s="210" t="s">
        <v>1544</v>
      </c>
    </row>
    <row r="2" spans="1:8" ht="15.75" x14ac:dyDescent="0.25">
      <c r="A2" s="218"/>
      <c r="B2" s="218"/>
      <c r="C2" s="218"/>
      <c r="D2" s="218"/>
      <c r="E2" s="218"/>
      <c r="F2" s="218"/>
      <c r="G2" s="218"/>
      <c r="H2" s="210" t="s">
        <v>608</v>
      </c>
    </row>
    <row r="3" spans="1:8" ht="15.75" x14ac:dyDescent="0.25">
      <c r="A3" s="218"/>
      <c r="B3" s="218"/>
      <c r="C3" s="218"/>
      <c r="D3" s="218"/>
      <c r="E3" s="218"/>
      <c r="F3" s="62"/>
      <c r="G3" s="218"/>
      <c r="H3" s="130" t="s">
        <v>1540</v>
      </c>
    </row>
    <row r="4" spans="1:8" s="217" customFormat="1" ht="15.75" x14ac:dyDescent="0.25">
      <c r="A4" s="218"/>
      <c r="B4" s="218"/>
      <c r="C4" s="218"/>
      <c r="D4" s="218"/>
      <c r="E4" s="218"/>
      <c r="F4" s="62"/>
      <c r="G4" s="218"/>
      <c r="H4" s="130"/>
    </row>
    <row r="5" spans="1:8" ht="44.45" customHeight="1" x14ac:dyDescent="0.25">
      <c r="A5" s="395" t="s">
        <v>1354</v>
      </c>
      <c r="B5" s="395"/>
      <c r="C5" s="395"/>
      <c r="D5" s="395"/>
      <c r="E5" s="395"/>
      <c r="F5" s="395"/>
      <c r="G5" s="395"/>
      <c r="H5" s="395"/>
    </row>
    <row r="6" spans="1:8" ht="16.5" x14ac:dyDescent="0.25">
      <c r="A6" s="260"/>
      <c r="B6" s="260"/>
      <c r="C6" s="260"/>
      <c r="D6" s="260"/>
      <c r="E6" s="260"/>
      <c r="F6" s="260"/>
      <c r="G6" s="218"/>
      <c r="H6" s="218"/>
    </row>
    <row r="7" spans="1:8" ht="15.75" x14ac:dyDescent="0.25">
      <c r="A7" s="62"/>
      <c r="B7" s="62"/>
      <c r="C7" s="62"/>
      <c r="D7" s="62"/>
      <c r="E7" s="64"/>
      <c r="F7" s="64"/>
      <c r="G7" s="218"/>
      <c r="H7" s="194" t="s">
        <v>2</v>
      </c>
    </row>
    <row r="8" spans="1:8" ht="31.5" x14ac:dyDescent="0.25">
      <c r="A8" s="66" t="s">
        <v>609</v>
      </c>
      <c r="B8" s="66" t="s">
        <v>634</v>
      </c>
      <c r="C8" s="66" t="s">
        <v>635</v>
      </c>
      <c r="D8" s="66" t="s">
        <v>636</v>
      </c>
      <c r="E8" s="66" t="s">
        <v>637</v>
      </c>
      <c r="F8" s="66" t="s">
        <v>638</v>
      </c>
      <c r="G8" s="181" t="s">
        <v>1193</v>
      </c>
      <c r="H8" s="180" t="s">
        <v>1194</v>
      </c>
    </row>
    <row r="9" spans="1:8" ht="63" x14ac:dyDescent="0.25">
      <c r="A9" s="58" t="s">
        <v>1180</v>
      </c>
      <c r="B9" s="7" t="s">
        <v>526</v>
      </c>
      <c r="C9" s="7"/>
      <c r="D9" s="7"/>
      <c r="E9" s="7"/>
      <c r="F9" s="7"/>
      <c r="G9" s="4">
        <f>G10+G17</f>
        <v>3189</v>
      </c>
      <c r="H9" s="4">
        <f>H10+H17</f>
        <v>3278</v>
      </c>
    </row>
    <row r="10" spans="1:8" ht="36" hidden="1" customHeight="1" x14ac:dyDescent="0.25">
      <c r="A10" s="34" t="s">
        <v>1150</v>
      </c>
      <c r="B10" s="7" t="s">
        <v>1094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248</v>
      </c>
      <c r="B11" s="40" t="s">
        <v>1094</v>
      </c>
      <c r="C11" s="40" t="s">
        <v>166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524</v>
      </c>
      <c r="B12" s="40" t="s">
        <v>1094</v>
      </c>
      <c r="C12" s="40" t="s">
        <v>166</v>
      </c>
      <c r="D12" s="40" t="s">
        <v>235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1152</v>
      </c>
      <c r="B13" s="40" t="s">
        <v>1151</v>
      </c>
      <c r="C13" s="40" t="s">
        <v>166</v>
      </c>
      <c r="D13" s="40" t="s">
        <v>235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147</v>
      </c>
      <c r="B14" s="40" t="s">
        <v>1151</v>
      </c>
      <c r="C14" s="40" t="s">
        <v>166</v>
      </c>
      <c r="D14" s="40" t="s">
        <v>235</v>
      </c>
      <c r="E14" s="40" t="s">
        <v>148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149</v>
      </c>
      <c r="B15" s="40" t="s">
        <v>1151</v>
      </c>
      <c r="C15" s="40" t="s">
        <v>166</v>
      </c>
      <c r="D15" s="40" t="s">
        <v>235</v>
      </c>
      <c r="E15" s="40" t="s">
        <v>150</v>
      </c>
      <c r="F15" s="40"/>
      <c r="G15" s="6">
        <f>'пр.5.1.ведом.21-22'!G884</f>
        <v>0</v>
      </c>
      <c r="H15" s="6">
        <f>'пр.5.1.ведом.21-22'!H884</f>
        <v>0</v>
      </c>
    </row>
    <row r="16" spans="1:8" ht="47.25" hidden="1" x14ac:dyDescent="0.25">
      <c r="A16" s="45" t="s">
        <v>640</v>
      </c>
      <c r="B16" s="40" t="s">
        <v>1151</v>
      </c>
      <c r="C16" s="40" t="s">
        <v>166</v>
      </c>
      <c r="D16" s="40" t="s">
        <v>235</v>
      </c>
      <c r="E16" s="40" t="s">
        <v>150</v>
      </c>
      <c r="F16" s="40" t="s">
        <v>641</v>
      </c>
      <c r="G16" s="6">
        <f>G15</f>
        <v>0</v>
      </c>
      <c r="H16" s="6">
        <f>H15</f>
        <v>0</v>
      </c>
    </row>
    <row r="17" spans="1:8" ht="47.25" x14ac:dyDescent="0.25">
      <c r="A17" s="34" t="s">
        <v>1237</v>
      </c>
      <c r="B17" s="24" t="s">
        <v>1095</v>
      </c>
      <c r="C17" s="40"/>
      <c r="D17" s="40"/>
      <c r="E17" s="40"/>
      <c r="F17" s="40"/>
      <c r="G17" s="6">
        <f t="shared" ref="G17:H19" si="2">G18</f>
        <v>3189</v>
      </c>
      <c r="H17" s="6">
        <f t="shared" si="2"/>
        <v>3278</v>
      </c>
    </row>
    <row r="18" spans="1:8" ht="15.75" x14ac:dyDescent="0.25">
      <c r="A18" s="29" t="s">
        <v>248</v>
      </c>
      <c r="B18" s="40" t="s">
        <v>1095</v>
      </c>
      <c r="C18" s="40" t="s">
        <v>166</v>
      </c>
      <c r="D18" s="40"/>
      <c r="E18" s="40"/>
      <c r="F18" s="40"/>
      <c r="G18" s="6">
        <f t="shared" si="2"/>
        <v>3189</v>
      </c>
      <c r="H18" s="6">
        <f t="shared" si="2"/>
        <v>3278</v>
      </c>
    </row>
    <row r="19" spans="1:8" ht="15.75" x14ac:dyDescent="0.25">
      <c r="A19" s="29" t="s">
        <v>524</v>
      </c>
      <c r="B19" s="40" t="s">
        <v>1095</v>
      </c>
      <c r="C19" s="40" t="s">
        <v>166</v>
      </c>
      <c r="D19" s="40" t="s">
        <v>235</v>
      </c>
      <c r="E19" s="40"/>
      <c r="F19" s="40"/>
      <c r="G19" s="6">
        <f t="shared" si="2"/>
        <v>3189</v>
      </c>
      <c r="H19" s="6">
        <f t="shared" si="2"/>
        <v>3278</v>
      </c>
    </row>
    <row r="20" spans="1:8" ht="15.75" x14ac:dyDescent="0.25">
      <c r="A20" s="29" t="s">
        <v>527</v>
      </c>
      <c r="B20" s="40" t="s">
        <v>1153</v>
      </c>
      <c r="C20" s="40" t="s">
        <v>166</v>
      </c>
      <c r="D20" s="40" t="s">
        <v>235</v>
      </c>
      <c r="E20" s="40"/>
      <c r="F20" s="40"/>
      <c r="G20" s="6">
        <f>G21+G24</f>
        <v>3189</v>
      </c>
      <c r="H20" s="6">
        <f>H21+H24</f>
        <v>3278</v>
      </c>
    </row>
    <row r="21" spans="1:8" ht="31.5" x14ac:dyDescent="0.25">
      <c r="A21" s="29" t="s">
        <v>147</v>
      </c>
      <c r="B21" s="40" t="s">
        <v>1153</v>
      </c>
      <c r="C21" s="40" t="s">
        <v>166</v>
      </c>
      <c r="D21" s="40" t="s">
        <v>235</v>
      </c>
      <c r="E21" s="40" t="s">
        <v>148</v>
      </c>
      <c r="F21" s="40"/>
      <c r="G21" s="6">
        <f t="shared" ref="G21:H21" si="3">G22</f>
        <v>3189</v>
      </c>
      <c r="H21" s="6">
        <f t="shared" si="3"/>
        <v>3278</v>
      </c>
    </row>
    <row r="22" spans="1:8" ht="47.25" x14ac:dyDescent="0.25">
      <c r="A22" s="29" t="s">
        <v>149</v>
      </c>
      <c r="B22" s="40" t="s">
        <v>1153</v>
      </c>
      <c r="C22" s="40" t="s">
        <v>166</v>
      </c>
      <c r="D22" s="40" t="s">
        <v>235</v>
      </c>
      <c r="E22" s="40" t="s">
        <v>150</v>
      </c>
      <c r="F22" s="40"/>
      <c r="G22" s="6">
        <f>'пр.5.1.ведом.21-22'!G888</f>
        <v>3189</v>
      </c>
      <c r="H22" s="6">
        <f>'пр.5.1.ведом.21-22'!H888</f>
        <v>3278</v>
      </c>
    </row>
    <row r="23" spans="1:8" ht="47.25" x14ac:dyDescent="0.25">
      <c r="A23" s="45" t="s">
        <v>640</v>
      </c>
      <c r="B23" s="40" t="s">
        <v>1153</v>
      </c>
      <c r="C23" s="40" t="s">
        <v>166</v>
      </c>
      <c r="D23" s="40" t="s">
        <v>235</v>
      </c>
      <c r="E23" s="40" t="s">
        <v>150</v>
      </c>
      <c r="F23" s="40" t="s">
        <v>641</v>
      </c>
      <c r="G23" s="6">
        <f>G22</f>
        <v>3189</v>
      </c>
      <c r="H23" s="6">
        <f>H22</f>
        <v>3278</v>
      </c>
    </row>
    <row r="24" spans="1:8" ht="15.75" hidden="1" x14ac:dyDescent="0.25">
      <c r="A24" s="25" t="s">
        <v>151</v>
      </c>
      <c r="B24" s="40" t="s">
        <v>1153</v>
      </c>
      <c r="C24" s="40" t="s">
        <v>166</v>
      </c>
      <c r="D24" s="40" t="s">
        <v>235</v>
      </c>
      <c r="E24" s="40" t="s">
        <v>161</v>
      </c>
      <c r="F24" s="40"/>
      <c r="G24" s="6">
        <f t="shared" ref="G24:H24" si="4">G25</f>
        <v>0</v>
      </c>
      <c r="H24" s="6">
        <f t="shared" si="4"/>
        <v>0</v>
      </c>
    </row>
    <row r="25" spans="1:8" ht="15.75" hidden="1" x14ac:dyDescent="0.25">
      <c r="A25" s="25" t="s">
        <v>153</v>
      </c>
      <c r="B25" s="40" t="s">
        <v>1153</v>
      </c>
      <c r="C25" s="40" t="s">
        <v>166</v>
      </c>
      <c r="D25" s="40" t="s">
        <v>235</v>
      </c>
      <c r="E25" s="40" t="s">
        <v>154</v>
      </c>
      <c r="F25" s="40"/>
      <c r="G25" s="6">
        <f>'пр.5.1.ведом.21-22'!G890</f>
        <v>0</v>
      </c>
      <c r="H25" s="6">
        <f>'пр.5.1.ведом.21-22'!H890</f>
        <v>0</v>
      </c>
    </row>
    <row r="26" spans="1:8" ht="47.25" hidden="1" x14ac:dyDescent="0.25">
      <c r="A26" s="45" t="s">
        <v>640</v>
      </c>
      <c r="B26" s="40" t="s">
        <v>1153</v>
      </c>
      <c r="C26" s="40" t="s">
        <v>166</v>
      </c>
      <c r="D26" s="40" t="s">
        <v>235</v>
      </c>
      <c r="E26" s="40" t="s">
        <v>154</v>
      </c>
      <c r="F26" s="40" t="s">
        <v>641</v>
      </c>
      <c r="G26" s="6">
        <f>G25</f>
        <v>0</v>
      </c>
      <c r="H26" s="6">
        <f>H25</f>
        <v>0</v>
      </c>
    </row>
    <row r="27" spans="1:8" ht="63" x14ac:dyDescent="0.25">
      <c r="A27" s="58" t="s">
        <v>359</v>
      </c>
      <c r="B27" s="7" t="s">
        <v>360</v>
      </c>
      <c r="C27" s="7"/>
      <c r="D27" s="7"/>
      <c r="E27" s="7"/>
      <c r="F27" s="7"/>
      <c r="G27" s="59">
        <f>G28+G57+G65+G73+G91+G99+G107+G148</f>
        <v>3474</v>
      </c>
      <c r="H27" s="59">
        <f>H28+H57+H65+H73+H91+H99+H107+H148</f>
        <v>3102.7</v>
      </c>
    </row>
    <row r="28" spans="1:8" ht="31.5" x14ac:dyDescent="0.25">
      <c r="A28" s="58" t="s">
        <v>642</v>
      </c>
      <c r="B28" s="7" t="s">
        <v>362</v>
      </c>
      <c r="C28" s="7"/>
      <c r="D28" s="7"/>
      <c r="E28" s="7"/>
      <c r="F28" s="7"/>
      <c r="G28" s="59">
        <f>G30+G40+G50</f>
        <v>760</v>
      </c>
      <c r="H28" s="59">
        <f>H30+H40+H50</f>
        <v>760</v>
      </c>
    </row>
    <row r="29" spans="1:8" ht="63" x14ac:dyDescent="0.25">
      <c r="A29" s="223" t="s">
        <v>1196</v>
      </c>
      <c r="B29" s="24" t="s">
        <v>952</v>
      </c>
      <c r="C29" s="7"/>
      <c r="D29" s="7"/>
      <c r="E29" s="40"/>
      <c r="F29" s="40"/>
      <c r="G29" s="59">
        <f>G30</f>
        <v>280</v>
      </c>
      <c r="H29" s="59">
        <f>H30</f>
        <v>280</v>
      </c>
    </row>
    <row r="30" spans="1:8" ht="15.75" x14ac:dyDescent="0.25">
      <c r="A30" s="45" t="s">
        <v>279</v>
      </c>
      <c r="B30" s="40" t="s">
        <v>952</v>
      </c>
      <c r="C30" s="40" t="s">
        <v>280</v>
      </c>
      <c r="D30" s="40"/>
      <c r="E30" s="40"/>
      <c r="F30" s="40"/>
      <c r="G30" s="10">
        <f t="shared" ref="G30:H30" si="5">G31</f>
        <v>280</v>
      </c>
      <c r="H30" s="10">
        <f t="shared" si="5"/>
        <v>280</v>
      </c>
    </row>
    <row r="31" spans="1:8" ht="17.45" customHeight="1" x14ac:dyDescent="0.25">
      <c r="A31" s="45" t="s">
        <v>482</v>
      </c>
      <c r="B31" s="40" t="s">
        <v>952</v>
      </c>
      <c r="C31" s="40" t="s">
        <v>280</v>
      </c>
      <c r="D31" s="40" t="s">
        <v>280</v>
      </c>
      <c r="E31" s="40"/>
      <c r="F31" s="40"/>
      <c r="G31" s="10">
        <f>G32+G36</f>
        <v>280</v>
      </c>
      <c r="H31" s="10">
        <f>H32+H36</f>
        <v>280</v>
      </c>
    </row>
    <row r="32" spans="1:8" ht="31.5" x14ac:dyDescent="0.25">
      <c r="A32" s="99" t="s">
        <v>1202</v>
      </c>
      <c r="B32" s="20" t="s">
        <v>953</v>
      </c>
      <c r="C32" s="40" t="s">
        <v>280</v>
      </c>
      <c r="D32" s="40" t="s">
        <v>280</v>
      </c>
      <c r="E32" s="40"/>
      <c r="F32" s="40"/>
      <c r="G32" s="10">
        <f>G33</f>
        <v>280</v>
      </c>
      <c r="H32" s="10">
        <f>H33</f>
        <v>280</v>
      </c>
    </row>
    <row r="33" spans="1:8" ht="94.5" x14ac:dyDescent="0.25">
      <c r="A33" s="25" t="s">
        <v>143</v>
      </c>
      <c r="B33" s="20" t="s">
        <v>953</v>
      </c>
      <c r="C33" s="40" t="s">
        <v>280</v>
      </c>
      <c r="D33" s="40" t="s">
        <v>280</v>
      </c>
      <c r="E33" s="40" t="s">
        <v>144</v>
      </c>
      <c r="F33" s="40"/>
      <c r="G33" s="10">
        <f>G34</f>
        <v>280</v>
      </c>
      <c r="H33" s="10">
        <f>H34</f>
        <v>280</v>
      </c>
    </row>
    <row r="34" spans="1:8" ht="31.5" x14ac:dyDescent="0.25">
      <c r="A34" s="25" t="s">
        <v>358</v>
      </c>
      <c r="B34" s="20" t="s">
        <v>953</v>
      </c>
      <c r="C34" s="40" t="s">
        <v>280</v>
      </c>
      <c r="D34" s="40" t="s">
        <v>280</v>
      </c>
      <c r="E34" s="40" t="s">
        <v>225</v>
      </c>
      <c r="F34" s="40"/>
      <c r="G34" s="10">
        <f>'пр.5.1.ведом.21-22'!G327</f>
        <v>280</v>
      </c>
      <c r="H34" s="10">
        <f>'пр.5.1.ведом.21-22'!H327</f>
        <v>280</v>
      </c>
    </row>
    <row r="35" spans="1:8" ht="47.25" x14ac:dyDescent="0.25">
      <c r="A35" s="45" t="s">
        <v>277</v>
      </c>
      <c r="B35" s="20" t="s">
        <v>953</v>
      </c>
      <c r="C35" s="40" t="s">
        <v>280</v>
      </c>
      <c r="D35" s="40" t="s">
        <v>280</v>
      </c>
      <c r="E35" s="40" t="s">
        <v>225</v>
      </c>
      <c r="F35" s="40" t="s">
        <v>644</v>
      </c>
      <c r="G35" s="6">
        <f>G34</f>
        <v>280</v>
      </c>
      <c r="H35" s="6">
        <f>H34</f>
        <v>280</v>
      </c>
    </row>
    <row r="36" spans="1:8" ht="31.5" hidden="1" x14ac:dyDescent="0.25">
      <c r="A36" s="25" t="s">
        <v>1197</v>
      </c>
      <c r="B36" s="20" t="s">
        <v>1221</v>
      </c>
      <c r="C36" s="40" t="s">
        <v>280</v>
      </c>
      <c r="D36" s="40" t="s">
        <v>280</v>
      </c>
      <c r="E36" s="40"/>
      <c r="F36" s="40"/>
      <c r="G36" s="10">
        <f>G37</f>
        <v>0</v>
      </c>
      <c r="H36" s="10">
        <f>H37</f>
        <v>0</v>
      </c>
    </row>
    <row r="37" spans="1:8" ht="31.5" hidden="1" x14ac:dyDescent="0.25">
      <c r="A37" s="25" t="s">
        <v>147</v>
      </c>
      <c r="B37" s="20" t="s">
        <v>1221</v>
      </c>
      <c r="C37" s="40" t="s">
        <v>280</v>
      </c>
      <c r="D37" s="40" t="s">
        <v>280</v>
      </c>
      <c r="E37" s="40" t="s">
        <v>148</v>
      </c>
      <c r="F37" s="40"/>
      <c r="G37" s="10">
        <f>G38</f>
        <v>0</v>
      </c>
      <c r="H37" s="10">
        <f>H38</f>
        <v>0</v>
      </c>
    </row>
    <row r="38" spans="1:8" ht="47.25" hidden="1" x14ac:dyDescent="0.25">
      <c r="A38" s="25" t="s">
        <v>149</v>
      </c>
      <c r="B38" s="20" t="s">
        <v>1221</v>
      </c>
      <c r="C38" s="40" t="s">
        <v>280</v>
      </c>
      <c r="D38" s="40" t="s">
        <v>280</v>
      </c>
      <c r="E38" s="40" t="s">
        <v>150</v>
      </c>
      <c r="F38" s="40"/>
      <c r="G38" s="10">
        <f>'пр.5.1.ведом.21-22'!G330</f>
        <v>0</v>
      </c>
      <c r="H38" s="10">
        <f>'пр.5.1.ведом.21-22'!H330</f>
        <v>0</v>
      </c>
    </row>
    <row r="39" spans="1:8" ht="47.25" hidden="1" x14ac:dyDescent="0.25">
      <c r="A39" s="45" t="s">
        <v>277</v>
      </c>
      <c r="B39" s="20" t="s">
        <v>1221</v>
      </c>
      <c r="C39" s="40" t="s">
        <v>280</v>
      </c>
      <c r="D39" s="40" t="s">
        <v>280</v>
      </c>
      <c r="E39" s="40" t="s">
        <v>150</v>
      </c>
      <c r="F39" s="40" t="s">
        <v>644</v>
      </c>
      <c r="G39" s="6">
        <f>G38</f>
        <v>0</v>
      </c>
      <c r="H39" s="6">
        <f>H38</f>
        <v>0</v>
      </c>
    </row>
    <row r="40" spans="1:8" ht="78.75" x14ac:dyDescent="0.25">
      <c r="A40" s="23" t="s">
        <v>1198</v>
      </c>
      <c r="B40" s="24" t="s">
        <v>954</v>
      </c>
      <c r="C40" s="40"/>
      <c r="D40" s="40"/>
      <c r="E40" s="40"/>
      <c r="F40" s="40"/>
      <c r="G40" s="59">
        <f>G41</f>
        <v>455</v>
      </c>
      <c r="H40" s="59">
        <f>H41</f>
        <v>455</v>
      </c>
    </row>
    <row r="41" spans="1:8" ht="15.75" x14ac:dyDescent="0.25">
      <c r="A41" s="45" t="s">
        <v>279</v>
      </c>
      <c r="B41" s="40" t="s">
        <v>954</v>
      </c>
      <c r="C41" s="40" t="s">
        <v>280</v>
      </c>
      <c r="D41" s="40"/>
      <c r="E41" s="40"/>
      <c r="F41" s="40"/>
      <c r="G41" s="10">
        <f>G42</f>
        <v>455</v>
      </c>
      <c r="H41" s="10">
        <f>H42</f>
        <v>455</v>
      </c>
    </row>
    <row r="42" spans="1:8" ht="21.75" customHeight="1" x14ac:dyDescent="0.25">
      <c r="A42" s="45" t="s">
        <v>482</v>
      </c>
      <c r="B42" s="40" t="s">
        <v>954</v>
      </c>
      <c r="C42" s="40" t="s">
        <v>280</v>
      </c>
      <c r="D42" s="40" t="s">
        <v>280</v>
      </c>
      <c r="E42" s="40"/>
      <c r="F42" s="40"/>
      <c r="G42" s="10">
        <f>G43+G47</f>
        <v>455</v>
      </c>
      <c r="H42" s="10">
        <f>H43+H47</f>
        <v>455</v>
      </c>
    </row>
    <row r="43" spans="1:8" ht="31.5" x14ac:dyDescent="0.25">
      <c r="A43" s="25" t="s">
        <v>1199</v>
      </c>
      <c r="B43" s="20" t="s">
        <v>972</v>
      </c>
      <c r="C43" s="40" t="s">
        <v>280</v>
      </c>
      <c r="D43" s="40" t="s">
        <v>280</v>
      </c>
      <c r="E43" s="40"/>
      <c r="F43" s="40"/>
      <c r="G43" s="10">
        <f>G44</f>
        <v>40</v>
      </c>
      <c r="H43" s="10">
        <f>H44</f>
        <v>40</v>
      </c>
    </row>
    <row r="44" spans="1:8" ht="94.5" x14ac:dyDescent="0.25">
      <c r="A44" s="25" t="s">
        <v>143</v>
      </c>
      <c r="B44" s="20" t="s">
        <v>972</v>
      </c>
      <c r="C44" s="40" t="s">
        <v>280</v>
      </c>
      <c r="D44" s="40" t="s">
        <v>280</v>
      </c>
      <c r="E44" s="40" t="s">
        <v>144</v>
      </c>
      <c r="F44" s="40"/>
      <c r="G44" s="10">
        <f t="shared" ref="G44:H44" si="6">G45</f>
        <v>40</v>
      </c>
      <c r="H44" s="10">
        <f t="shared" si="6"/>
        <v>40</v>
      </c>
    </row>
    <row r="45" spans="1:8" ht="31.5" x14ac:dyDescent="0.25">
      <c r="A45" s="25" t="s">
        <v>358</v>
      </c>
      <c r="B45" s="20" t="s">
        <v>972</v>
      </c>
      <c r="C45" s="40" t="s">
        <v>280</v>
      </c>
      <c r="D45" s="40" t="s">
        <v>280</v>
      </c>
      <c r="E45" s="40" t="s">
        <v>225</v>
      </c>
      <c r="F45" s="40"/>
      <c r="G45" s="10">
        <f>'пр.5.1.ведом.21-22'!G334</f>
        <v>40</v>
      </c>
      <c r="H45" s="10">
        <f>'пр.5.1.ведом.21-22'!H334</f>
        <v>40</v>
      </c>
    </row>
    <row r="46" spans="1:8" ht="47.25" x14ac:dyDescent="0.25">
      <c r="A46" s="45" t="s">
        <v>277</v>
      </c>
      <c r="B46" s="20" t="s">
        <v>972</v>
      </c>
      <c r="C46" s="40" t="s">
        <v>280</v>
      </c>
      <c r="D46" s="40" t="s">
        <v>280</v>
      </c>
      <c r="E46" s="40" t="s">
        <v>225</v>
      </c>
      <c r="F46" s="40" t="s">
        <v>644</v>
      </c>
      <c r="G46" s="6">
        <f>G45</f>
        <v>40</v>
      </c>
      <c r="H46" s="6">
        <f>H45</f>
        <v>40</v>
      </c>
    </row>
    <row r="47" spans="1:8" ht="31.5" x14ac:dyDescent="0.25">
      <c r="A47" s="25" t="s">
        <v>147</v>
      </c>
      <c r="B47" s="20" t="s">
        <v>972</v>
      </c>
      <c r="C47" s="40" t="s">
        <v>280</v>
      </c>
      <c r="D47" s="40" t="s">
        <v>280</v>
      </c>
      <c r="E47" s="40" t="s">
        <v>148</v>
      </c>
      <c r="F47" s="40"/>
      <c r="G47" s="10">
        <f t="shared" ref="G47:H47" si="7">G48</f>
        <v>415</v>
      </c>
      <c r="H47" s="10">
        <f t="shared" si="7"/>
        <v>415</v>
      </c>
    </row>
    <row r="48" spans="1:8" ht="47.25" x14ac:dyDescent="0.25">
      <c r="A48" s="25" t="s">
        <v>149</v>
      </c>
      <c r="B48" s="20" t="s">
        <v>972</v>
      </c>
      <c r="C48" s="40" t="s">
        <v>280</v>
      </c>
      <c r="D48" s="40" t="s">
        <v>280</v>
      </c>
      <c r="E48" s="40" t="s">
        <v>150</v>
      </c>
      <c r="F48" s="40"/>
      <c r="G48" s="6">
        <f>'пр.5.1.ведом.21-22'!G336</f>
        <v>415</v>
      </c>
      <c r="H48" s="6">
        <f>'пр.5.1.ведом.21-22'!H336</f>
        <v>415</v>
      </c>
    </row>
    <row r="49" spans="1:8" ht="47.25" x14ac:dyDescent="0.25">
      <c r="A49" s="45" t="s">
        <v>277</v>
      </c>
      <c r="B49" s="20" t="s">
        <v>972</v>
      </c>
      <c r="C49" s="40" t="s">
        <v>280</v>
      </c>
      <c r="D49" s="40" t="s">
        <v>280</v>
      </c>
      <c r="E49" s="40" t="s">
        <v>150</v>
      </c>
      <c r="F49" s="40" t="s">
        <v>644</v>
      </c>
      <c r="G49" s="6">
        <f>G48</f>
        <v>415</v>
      </c>
      <c r="H49" s="6">
        <f>H48</f>
        <v>415</v>
      </c>
    </row>
    <row r="50" spans="1:8" ht="47.25" x14ac:dyDescent="0.25">
      <c r="A50" s="23" t="s">
        <v>1204</v>
      </c>
      <c r="B50" s="24" t="s">
        <v>1200</v>
      </c>
      <c r="C50" s="40"/>
      <c r="D50" s="40"/>
      <c r="E50" s="40"/>
      <c r="F50" s="40"/>
      <c r="G50" s="4">
        <f>G53</f>
        <v>25</v>
      </c>
      <c r="H50" s="4">
        <f>H53</f>
        <v>25</v>
      </c>
    </row>
    <row r="51" spans="1:8" ht="15.75" x14ac:dyDescent="0.25">
      <c r="A51" s="45" t="s">
        <v>279</v>
      </c>
      <c r="B51" s="40" t="s">
        <v>1200</v>
      </c>
      <c r="C51" s="40" t="s">
        <v>280</v>
      </c>
      <c r="D51" s="40"/>
      <c r="E51" s="40"/>
      <c r="F51" s="40"/>
      <c r="G51" s="10">
        <f>G52</f>
        <v>25</v>
      </c>
      <c r="H51" s="10">
        <f>H52</f>
        <v>25</v>
      </c>
    </row>
    <row r="52" spans="1:8" ht="20.25" customHeight="1" x14ac:dyDescent="0.25">
      <c r="A52" s="45" t="s">
        <v>482</v>
      </c>
      <c r="B52" s="40" t="s">
        <v>1200</v>
      </c>
      <c r="C52" s="40" t="s">
        <v>280</v>
      </c>
      <c r="D52" s="40" t="s">
        <v>280</v>
      </c>
      <c r="E52" s="40"/>
      <c r="F52" s="40"/>
      <c r="G52" s="10">
        <f>G53</f>
        <v>25</v>
      </c>
      <c r="H52" s="10">
        <f>H53</f>
        <v>25</v>
      </c>
    </row>
    <row r="53" spans="1:8" ht="63" x14ac:dyDescent="0.25">
      <c r="A53" s="248" t="s">
        <v>1201</v>
      </c>
      <c r="B53" s="20" t="s">
        <v>1222</v>
      </c>
      <c r="C53" s="40" t="s">
        <v>280</v>
      </c>
      <c r="D53" s="40" t="s">
        <v>280</v>
      </c>
      <c r="E53" s="20"/>
      <c r="F53" s="40"/>
      <c r="G53" s="6">
        <f t="shared" ref="G53:H53" si="8">G54</f>
        <v>25</v>
      </c>
      <c r="H53" s="6">
        <f t="shared" si="8"/>
        <v>25</v>
      </c>
    </row>
    <row r="54" spans="1:8" ht="31.5" x14ac:dyDescent="0.25">
      <c r="A54" s="25" t="s">
        <v>264</v>
      </c>
      <c r="B54" s="20" t="s">
        <v>1222</v>
      </c>
      <c r="C54" s="40" t="s">
        <v>280</v>
      </c>
      <c r="D54" s="40" t="s">
        <v>280</v>
      </c>
      <c r="E54" s="20" t="s">
        <v>265</v>
      </c>
      <c r="F54" s="40"/>
      <c r="G54" s="6">
        <f>G55</f>
        <v>25</v>
      </c>
      <c r="H54" s="6">
        <f>H55</f>
        <v>25</v>
      </c>
    </row>
    <row r="55" spans="1:8" ht="31.5" x14ac:dyDescent="0.25">
      <c r="A55" s="25" t="s">
        <v>364</v>
      </c>
      <c r="B55" s="20" t="s">
        <v>1222</v>
      </c>
      <c r="C55" s="40" t="s">
        <v>280</v>
      </c>
      <c r="D55" s="40" t="s">
        <v>280</v>
      </c>
      <c r="E55" s="20" t="s">
        <v>365</v>
      </c>
      <c r="F55" s="40"/>
      <c r="G55" s="10">
        <f>'пр.5.1.ведом.21-22'!G340</f>
        <v>25</v>
      </c>
      <c r="H55" s="10">
        <f>'пр.5.1.ведом.21-22'!H340</f>
        <v>25</v>
      </c>
    </row>
    <row r="56" spans="1:8" ht="47.25" x14ac:dyDescent="0.25">
      <c r="A56" s="45" t="s">
        <v>277</v>
      </c>
      <c r="B56" s="20" t="s">
        <v>1222</v>
      </c>
      <c r="C56" s="40" t="s">
        <v>280</v>
      </c>
      <c r="D56" s="40" t="s">
        <v>280</v>
      </c>
      <c r="E56" s="40" t="s">
        <v>365</v>
      </c>
      <c r="F56" s="40" t="s">
        <v>644</v>
      </c>
      <c r="G56" s="6">
        <f>G55</f>
        <v>25</v>
      </c>
      <c r="H56" s="6">
        <f>H55</f>
        <v>25</v>
      </c>
    </row>
    <row r="57" spans="1:8" ht="47.25" x14ac:dyDescent="0.25">
      <c r="A57" s="58" t="s">
        <v>645</v>
      </c>
      <c r="B57" s="7" t="s">
        <v>369</v>
      </c>
      <c r="C57" s="7"/>
      <c r="D57" s="7"/>
      <c r="E57" s="7"/>
      <c r="F57" s="7"/>
      <c r="G57" s="59">
        <f>G58</f>
        <v>44</v>
      </c>
      <c r="H57" s="59">
        <f>H58</f>
        <v>54</v>
      </c>
    </row>
    <row r="58" spans="1:8" ht="31.5" x14ac:dyDescent="0.25">
      <c r="A58" s="23" t="s">
        <v>976</v>
      </c>
      <c r="B58" s="24" t="s">
        <v>975</v>
      </c>
      <c r="C58" s="7"/>
      <c r="D58" s="7"/>
      <c r="E58" s="7"/>
      <c r="F58" s="7"/>
      <c r="G58" s="59">
        <f>G59</f>
        <v>44</v>
      </c>
      <c r="H58" s="59">
        <f>H59</f>
        <v>54</v>
      </c>
    </row>
    <row r="59" spans="1:8" ht="15.75" x14ac:dyDescent="0.25">
      <c r="A59" s="45" t="s">
        <v>259</v>
      </c>
      <c r="B59" s="40" t="s">
        <v>975</v>
      </c>
      <c r="C59" s="40" t="s">
        <v>260</v>
      </c>
      <c r="D59" s="40"/>
      <c r="E59" s="40"/>
      <c r="F59" s="40"/>
      <c r="G59" s="10">
        <f t="shared" ref="G59:H62" si="9">G60</f>
        <v>44</v>
      </c>
      <c r="H59" s="10">
        <f t="shared" si="9"/>
        <v>54</v>
      </c>
    </row>
    <row r="60" spans="1:8" ht="15.75" x14ac:dyDescent="0.25">
      <c r="A60" s="45" t="s">
        <v>268</v>
      </c>
      <c r="B60" s="40" t="s">
        <v>975</v>
      </c>
      <c r="C60" s="40" t="s">
        <v>260</v>
      </c>
      <c r="D60" s="40" t="s">
        <v>231</v>
      </c>
      <c r="E60" s="40"/>
      <c r="F60" s="40"/>
      <c r="G60" s="10">
        <f>G61</f>
        <v>44</v>
      </c>
      <c r="H60" s="10">
        <f>H61</f>
        <v>54</v>
      </c>
    </row>
    <row r="61" spans="1:8" ht="31.5" x14ac:dyDescent="0.25">
      <c r="A61" s="25" t="s">
        <v>869</v>
      </c>
      <c r="B61" s="20" t="s">
        <v>977</v>
      </c>
      <c r="C61" s="40" t="s">
        <v>260</v>
      </c>
      <c r="D61" s="40" t="s">
        <v>231</v>
      </c>
      <c r="E61" s="40"/>
      <c r="F61" s="40"/>
      <c r="G61" s="10">
        <f t="shared" si="9"/>
        <v>44</v>
      </c>
      <c r="H61" s="10">
        <f t="shared" si="9"/>
        <v>54</v>
      </c>
    </row>
    <row r="62" spans="1:8" ht="31.5" x14ac:dyDescent="0.25">
      <c r="A62" s="29" t="s">
        <v>264</v>
      </c>
      <c r="B62" s="20" t="s">
        <v>977</v>
      </c>
      <c r="C62" s="40" t="s">
        <v>260</v>
      </c>
      <c r="D62" s="40" t="s">
        <v>231</v>
      </c>
      <c r="E62" s="40" t="s">
        <v>265</v>
      </c>
      <c r="F62" s="40"/>
      <c r="G62" s="10">
        <f t="shared" si="9"/>
        <v>44</v>
      </c>
      <c r="H62" s="10">
        <f t="shared" si="9"/>
        <v>54</v>
      </c>
    </row>
    <row r="63" spans="1:8" ht="47.25" x14ac:dyDescent="0.25">
      <c r="A63" s="29" t="s">
        <v>266</v>
      </c>
      <c r="B63" s="20" t="s">
        <v>977</v>
      </c>
      <c r="C63" s="40" t="s">
        <v>260</v>
      </c>
      <c r="D63" s="40" t="s">
        <v>231</v>
      </c>
      <c r="E63" s="40" t="s">
        <v>267</v>
      </c>
      <c r="F63" s="40"/>
      <c r="G63" s="10">
        <f>'пр.5.1.ведом.21-22'!G451</f>
        <v>44</v>
      </c>
      <c r="H63" s="10">
        <f>'пр.5.1.ведом.21-22'!H451</f>
        <v>54</v>
      </c>
    </row>
    <row r="64" spans="1:8" ht="47.25" x14ac:dyDescent="0.25">
      <c r="A64" s="45" t="s">
        <v>277</v>
      </c>
      <c r="B64" s="20" t="s">
        <v>977</v>
      </c>
      <c r="C64" s="40" t="s">
        <v>260</v>
      </c>
      <c r="D64" s="40" t="s">
        <v>231</v>
      </c>
      <c r="E64" s="40" t="s">
        <v>267</v>
      </c>
      <c r="F64" s="40" t="s">
        <v>644</v>
      </c>
      <c r="G64" s="10">
        <f>G63</f>
        <v>44</v>
      </c>
      <c r="H64" s="10">
        <f>H63</f>
        <v>54</v>
      </c>
    </row>
    <row r="65" spans="1:8" ht="47.25" x14ac:dyDescent="0.25">
      <c r="A65" s="58" t="s">
        <v>646</v>
      </c>
      <c r="B65" s="7" t="s">
        <v>372</v>
      </c>
      <c r="C65" s="7"/>
      <c r="D65" s="7"/>
      <c r="E65" s="7"/>
      <c r="F65" s="7"/>
      <c r="G65" s="59">
        <f t="shared" ref="G65:H65" si="10">G67</f>
        <v>420</v>
      </c>
      <c r="H65" s="59">
        <f t="shared" si="10"/>
        <v>420</v>
      </c>
    </row>
    <row r="66" spans="1:8" ht="47.25" x14ac:dyDescent="0.25">
      <c r="A66" s="23" t="s">
        <v>1148</v>
      </c>
      <c r="B66" s="24" t="s">
        <v>978</v>
      </c>
      <c r="C66" s="40"/>
      <c r="D66" s="40"/>
      <c r="E66" s="40"/>
      <c r="F66" s="40"/>
      <c r="G66" s="10">
        <f>G67</f>
        <v>420</v>
      </c>
      <c r="H66" s="10">
        <f>H67</f>
        <v>420</v>
      </c>
    </row>
    <row r="67" spans="1:8" ht="15.75" x14ac:dyDescent="0.25">
      <c r="A67" s="45" t="s">
        <v>259</v>
      </c>
      <c r="B67" s="40" t="s">
        <v>978</v>
      </c>
      <c r="C67" s="40" t="s">
        <v>260</v>
      </c>
      <c r="D67" s="40"/>
      <c r="E67" s="40"/>
      <c r="F67" s="40"/>
      <c r="G67" s="10">
        <f t="shared" ref="G67:H70" si="11">G68</f>
        <v>420</v>
      </c>
      <c r="H67" s="10">
        <f t="shared" si="11"/>
        <v>420</v>
      </c>
    </row>
    <row r="68" spans="1:8" ht="15.75" x14ac:dyDescent="0.25">
      <c r="A68" s="45" t="s">
        <v>268</v>
      </c>
      <c r="B68" s="40" t="s">
        <v>978</v>
      </c>
      <c r="C68" s="40" t="s">
        <v>260</v>
      </c>
      <c r="D68" s="40" t="s">
        <v>231</v>
      </c>
      <c r="E68" s="40"/>
      <c r="F68" s="40"/>
      <c r="G68" s="10">
        <f>G69</f>
        <v>420</v>
      </c>
      <c r="H68" s="10">
        <f>H69</f>
        <v>420</v>
      </c>
    </row>
    <row r="69" spans="1:8" ht="31.5" x14ac:dyDescent="0.25">
      <c r="A69" s="29" t="s">
        <v>173</v>
      </c>
      <c r="B69" s="20" t="s">
        <v>979</v>
      </c>
      <c r="C69" s="40" t="s">
        <v>260</v>
      </c>
      <c r="D69" s="40" t="s">
        <v>231</v>
      </c>
      <c r="E69" s="40"/>
      <c r="F69" s="40"/>
      <c r="G69" s="10">
        <f t="shared" si="11"/>
        <v>420</v>
      </c>
      <c r="H69" s="10">
        <f t="shared" si="11"/>
        <v>420</v>
      </c>
    </row>
    <row r="70" spans="1:8" ht="31.5" x14ac:dyDescent="0.25">
      <c r="A70" s="29" t="s">
        <v>264</v>
      </c>
      <c r="B70" s="20" t="s">
        <v>979</v>
      </c>
      <c r="C70" s="40" t="s">
        <v>260</v>
      </c>
      <c r="D70" s="40" t="s">
        <v>231</v>
      </c>
      <c r="E70" s="40" t="s">
        <v>265</v>
      </c>
      <c r="F70" s="40"/>
      <c r="G70" s="10">
        <f t="shared" si="11"/>
        <v>420</v>
      </c>
      <c r="H70" s="10">
        <f t="shared" si="11"/>
        <v>420</v>
      </c>
    </row>
    <row r="71" spans="1:8" ht="31.5" x14ac:dyDescent="0.25">
      <c r="A71" s="29" t="s">
        <v>364</v>
      </c>
      <c r="B71" s="20" t="s">
        <v>979</v>
      </c>
      <c r="C71" s="40" t="s">
        <v>260</v>
      </c>
      <c r="D71" s="40" t="s">
        <v>231</v>
      </c>
      <c r="E71" s="40" t="s">
        <v>365</v>
      </c>
      <c r="F71" s="40"/>
      <c r="G71" s="10">
        <f>'пр.5.1.ведом.21-22'!G456</f>
        <v>420</v>
      </c>
      <c r="H71" s="10">
        <f>'пр.5.1.ведом.21-22'!H456</f>
        <v>420</v>
      </c>
    </row>
    <row r="72" spans="1:8" ht="47.25" x14ac:dyDescent="0.25">
      <c r="A72" s="45" t="s">
        <v>277</v>
      </c>
      <c r="B72" s="20" t="s">
        <v>979</v>
      </c>
      <c r="C72" s="40" t="s">
        <v>260</v>
      </c>
      <c r="D72" s="40" t="s">
        <v>231</v>
      </c>
      <c r="E72" s="40" t="s">
        <v>365</v>
      </c>
      <c r="F72" s="40" t="s">
        <v>644</v>
      </c>
      <c r="G72" s="10">
        <f>G71</f>
        <v>420</v>
      </c>
      <c r="H72" s="10">
        <f>H71</f>
        <v>420</v>
      </c>
    </row>
    <row r="73" spans="1:8" ht="31.5" x14ac:dyDescent="0.25">
      <c r="A73" s="58" t="s">
        <v>648</v>
      </c>
      <c r="B73" s="7" t="s">
        <v>375</v>
      </c>
      <c r="C73" s="7"/>
      <c r="D73" s="7"/>
      <c r="E73" s="7"/>
      <c r="F73" s="7"/>
      <c r="G73" s="59">
        <f>G75+G81</f>
        <v>1110</v>
      </c>
      <c r="H73" s="59">
        <f>H75+H81</f>
        <v>1110</v>
      </c>
    </row>
    <row r="74" spans="1:8" ht="31.5" x14ac:dyDescent="0.25">
      <c r="A74" s="23" t="s">
        <v>1205</v>
      </c>
      <c r="B74" s="24" t="s">
        <v>981</v>
      </c>
      <c r="C74" s="40"/>
      <c r="D74" s="40"/>
      <c r="E74" s="40"/>
      <c r="F74" s="40"/>
      <c r="G74" s="10">
        <f>G75</f>
        <v>630</v>
      </c>
      <c r="H74" s="10">
        <f>H75</f>
        <v>630</v>
      </c>
    </row>
    <row r="75" spans="1:8" ht="15.75" x14ac:dyDescent="0.25">
      <c r="A75" s="45" t="s">
        <v>259</v>
      </c>
      <c r="B75" s="40" t="s">
        <v>981</v>
      </c>
      <c r="C75" s="40" t="s">
        <v>260</v>
      </c>
      <c r="D75" s="40"/>
      <c r="E75" s="40"/>
      <c r="F75" s="40"/>
      <c r="G75" s="10">
        <f t="shared" ref="G75:H75" si="12">G76</f>
        <v>630</v>
      </c>
      <c r="H75" s="10">
        <f t="shared" si="12"/>
        <v>630</v>
      </c>
    </row>
    <row r="76" spans="1:8" ht="15.75" x14ac:dyDescent="0.25">
      <c r="A76" s="45" t="s">
        <v>268</v>
      </c>
      <c r="B76" s="40" t="s">
        <v>981</v>
      </c>
      <c r="C76" s="40" t="s">
        <v>260</v>
      </c>
      <c r="D76" s="40" t="s">
        <v>231</v>
      </c>
      <c r="E76" s="40"/>
      <c r="F76" s="40"/>
      <c r="G76" s="10">
        <f>G77</f>
        <v>630</v>
      </c>
      <c r="H76" s="10">
        <f>H77</f>
        <v>630</v>
      </c>
    </row>
    <row r="77" spans="1:8" ht="63" x14ac:dyDescent="0.25">
      <c r="A77" s="99" t="s">
        <v>1206</v>
      </c>
      <c r="B77" s="20" t="s">
        <v>982</v>
      </c>
      <c r="C77" s="40" t="s">
        <v>260</v>
      </c>
      <c r="D77" s="40" t="s">
        <v>231</v>
      </c>
      <c r="E77" s="40"/>
      <c r="F77" s="40"/>
      <c r="G77" s="10">
        <f>G78</f>
        <v>630</v>
      </c>
      <c r="H77" s="10">
        <f>H78</f>
        <v>630</v>
      </c>
    </row>
    <row r="78" spans="1:8" ht="31.5" x14ac:dyDescent="0.25">
      <c r="A78" s="25" t="s">
        <v>264</v>
      </c>
      <c r="B78" s="20" t="s">
        <v>982</v>
      </c>
      <c r="C78" s="40" t="s">
        <v>260</v>
      </c>
      <c r="D78" s="40" t="s">
        <v>231</v>
      </c>
      <c r="E78" s="40" t="s">
        <v>265</v>
      </c>
      <c r="F78" s="40"/>
      <c r="G78" s="10">
        <f t="shared" ref="G78:H78" si="13">G79</f>
        <v>630</v>
      </c>
      <c r="H78" s="10">
        <f t="shared" si="13"/>
        <v>630</v>
      </c>
    </row>
    <row r="79" spans="1:8" ht="31.5" x14ac:dyDescent="0.25">
      <c r="A79" s="25" t="s">
        <v>364</v>
      </c>
      <c r="B79" s="20" t="s">
        <v>982</v>
      </c>
      <c r="C79" s="40" t="s">
        <v>260</v>
      </c>
      <c r="D79" s="40" t="s">
        <v>231</v>
      </c>
      <c r="E79" s="40" t="s">
        <v>365</v>
      </c>
      <c r="F79" s="40"/>
      <c r="G79" s="10">
        <f>'пр.5.1.ведом.21-22'!G461</f>
        <v>630</v>
      </c>
      <c r="H79" s="10">
        <f>'пр.5.1.ведом.21-22'!H461</f>
        <v>630</v>
      </c>
    </row>
    <row r="80" spans="1:8" ht="47.25" x14ac:dyDescent="0.25">
      <c r="A80" s="45" t="s">
        <v>277</v>
      </c>
      <c r="B80" s="20" t="s">
        <v>982</v>
      </c>
      <c r="C80" s="40" t="s">
        <v>260</v>
      </c>
      <c r="D80" s="40" t="s">
        <v>231</v>
      </c>
      <c r="E80" s="40" t="s">
        <v>365</v>
      </c>
      <c r="F80" s="40" t="s">
        <v>644</v>
      </c>
      <c r="G80" s="10">
        <f>G79</f>
        <v>630</v>
      </c>
      <c r="H80" s="10">
        <f>H79</f>
        <v>630</v>
      </c>
    </row>
    <row r="81" spans="1:8" ht="31.5" x14ac:dyDescent="0.25">
      <c r="A81" s="23" t="s">
        <v>980</v>
      </c>
      <c r="B81" s="24" t="s">
        <v>983</v>
      </c>
      <c r="C81" s="7"/>
      <c r="D81" s="7"/>
      <c r="E81" s="7"/>
      <c r="F81" s="7"/>
      <c r="G81" s="59">
        <f>G84+G88</f>
        <v>480</v>
      </c>
      <c r="H81" s="59">
        <f>H84+H88</f>
        <v>480</v>
      </c>
    </row>
    <row r="82" spans="1:8" ht="15.75" x14ac:dyDescent="0.25">
      <c r="A82" s="45" t="s">
        <v>259</v>
      </c>
      <c r="B82" s="40" t="s">
        <v>983</v>
      </c>
      <c r="C82" s="40" t="s">
        <v>260</v>
      </c>
      <c r="D82" s="40"/>
      <c r="E82" s="40"/>
      <c r="F82" s="40"/>
      <c r="G82" s="10">
        <f t="shared" ref="G82:H82" si="14">G83</f>
        <v>270</v>
      </c>
      <c r="H82" s="10">
        <f t="shared" si="14"/>
        <v>270</v>
      </c>
    </row>
    <row r="83" spans="1:8" ht="15.75" x14ac:dyDescent="0.25">
      <c r="A83" s="45" t="s">
        <v>268</v>
      </c>
      <c r="B83" s="40" t="s">
        <v>983</v>
      </c>
      <c r="C83" s="40" t="s">
        <v>260</v>
      </c>
      <c r="D83" s="40" t="s">
        <v>231</v>
      </c>
      <c r="E83" s="40"/>
      <c r="F83" s="40"/>
      <c r="G83" s="10">
        <f t="shared" ref="G83:H85" si="15">G84</f>
        <v>270</v>
      </c>
      <c r="H83" s="10">
        <f t="shared" si="15"/>
        <v>270</v>
      </c>
    </row>
    <row r="84" spans="1:8" ht="31.5" x14ac:dyDescent="0.25">
      <c r="A84" s="25" t="s">
        <v>1149</v>
      </c>
      <c r="B84" s="20" t="s">
        <v>984</v>
      </c>
      <c r="C84" s="40" t="s">
        <v>260</v>
      </c>
      <c r="D84" s="40" t="s">
        <v>231</v>
      </c>
      <c r="E84" s="40"/>
      <c r="F84" s="40"/>
      <c r="G84" s="10">
        <f t="shared" si="15"/>
        <v>270</v>
      </c>
      <c r="H84" s="10">
        <f t="shared" si="15"/>
        <v>270</v>
      </c>
    </row>
    <row r="85" spans="1:8" ht="31.5" x14ac:dyDescent="0.25">
      <c r="A85" s="25" t="s">
        <v>147</v>
      </c>
      <c r="B85" s="20" t="s">
        <v>984</v>
      </c>
      <c r="C85" s="40" t="s">
        <v>260</v>
      </c>
      <c r="D85" s="40" t="s">
        <v>231</v>
      </c>
      <c r="E85" s="40" t="s">
        <v>148</v>
      </c>
      <c r="F85" s="40"/>
      <c r="G85" s="10">
        <f t="shared" si="15"/>
        <v>270</v>
      </c>
      <c r="H85" s="10">
        <f t="shared" si="15"/>
        <v>270</v>
      </c>
    </row>
    <row r="86" spans="1:8" ht="47.25" x14ac:dyDescent="0.25">
      <c r="A86" s="25" t="s">
        <v>149</v>
      </c>
      <c r="B86" s="20" t="s">
        <v>984</v>
      </c>
      <c r="C86" s="40" t="s">
        <v>260</v>
      </c>
      <c r="D86" s="40" t="s">
        <v>231</v>
      </c>
      <c r="E86" s="40" t="s">
        <v>150</v>
      </c>
      <c r="F86" s="40"/>
      <c r="G86" s="10">
        <f>'пр.5.1.ведом.21-22'!G465</f>
        <v>270</v>
      </c>
      <c r="H86" s="10">
        <f>'пр.5.1.ведом.21-22'!H465</f>
        <v>270</v>
      </c>
    </row>
    <row r="87" spans="1:8" ht="47.25" x14ac:dyDescent="0.25">
      <c r="A87" s="45" t="s">
        <v>277</v>
      </c>
      <c r="B87" s="20" t="s">
        <v>984</v>
      </c>
      <c r="C87" s="40" t="s">
        <v>260</v>
      </c>
      <c r="D87" s="40" t="s">
        <v>231</v>
      </c>
      <c r="E87" s="40" t="s">
        <v>150</v>
      </c>
      <c r="F87" s="40" t="s">
        <v>644</v>
      </c>
      <c r="G87" s="10">
        <f>G86</f>
        <v>270</v>
      </c>
      <c r="H87" s="10">
        <f>H86</f>
        <v>270</v>
      </c>
    </row>
    <row r="88" spans="1:8" s="217" customFormat="1" ht="31.5" x14ac:dyDescent="0.25">
      <c r="A88" s="25" t="s">
        <v>264</v>
      </c>
      <c r="B88" s="20" t="s">
        <v>984</v>
      </c>
      <c r="C88" s="40" t="s">
        <v>260</v>
      </c>
      <c r="D88" s="40" t="s">
        <v>231</v>
      </c>
      <c r="E88" s="40" t="s">
        <v>265</v>
      </c>
      <c r="F88" s="40"/>
      <c r="G88" s="10">
        <f>G89</f>
        <v>210</v>
      </c>
      <c r="H88" s="10">
        <f>H89</f>
        <v>210</v>
      </c>
    </row>
    <row r="89" spans="1:8" s="217" customFormat="1" ht="31.5" x14ac:dyDescent="0.25">
      <c r="A89" s="25" t="s">
        <v>364</v>
      </c>
      <c r="B89" s="20" t="s">
        <v>984</v>
      </c>
      <c r="C89" s="40" t="s">
        <v>260</v>
      </c>
      <c r="D89" s="40" t="s">
        <v>231</v>
      </c>
      <c r="E89" s="40" t="s">
        <v>365</v>
      </c>
      <c r="F89" s="40"/>
      <c r="G89" s="10">
        <f>'пр.5.1.ведом.21-22'!G467</f>
        <v>210</v>
      </c>
      <c r="H89" s="10">
        <f>'пр.5.1.ведом.21-22'!H467</f>
        <v>210</v>
      </c>
    </row>
    <row r="90" spans="1:8" s="217" customFormat="1" ht="47.25" x14ac:dyDescent="0.25">
      <c r="A90" s="45" t="s">
        <v>277</v>
      </c>
      <c r="B90" s="20" t="s">
        <v>984</v>
      </c>
      <c r="C90" s="40" t="s">
        <v>260</v>
      </c>
      <c r="D90" s="40" t="s">
        <v>231</v>
      </c>
      <c r="E90" s="40" t="s">
        <v>365</v>
      </c>
      <c r="F90" s="40" t="s">
        <v>644</v>
      </c>
      <c r="G90" s="10">
        <f>G89</f>
        <v>210</v>
      </c>
      <c r="H90" s="10">
        <f>H89</f>
        <v>210</v>
      </c>
    </row>
    <row r="91" spans="1:8" ht="47.25" x14ac:dyDescent="0.25">
      <c r="A91" s="58" t="s">
        <v>650</v>
      </c>
      <c r="B91" s="7" t="s">
        <v>378</v>
      </c>
      <c r="C91" s="7"/>
      <c r="D91" s="7"/>
      <c r="E91" s="7"/>
      <c r="F91" s="7"/>
      <c r="G91" s="59">
        <f t="shared" ref="G91:H91" si="16">G93</f>
        <v>250</v>
      </c>
      <c r="H91" s="59">
        <f t="shared" si="16"/>
        <v>250</v>
      </c>
    </row>
    <row r="92" spans="1:8" ht="47.25" x14ac:dyDescent="0.25">
      <c r="A92" s="23" t="s">
        <v>1208</v>
      </c>
      <c r="B92" s="24" t="s">
        <v>986</v>
      </c>
      <c r="C92" s="7"/>
      <c r="D92" s="7"/>
      <c r="E92" s="7"/>
      <c r="F92" s="7"/>
      <c r="G92" s="59">
        <f>G93</f>
        <v>250</v>
      </c>
      <c r="H92" s="59">
        <f>H93</f>
        <v>250</v>
      </c>
    </row>
    <row r="93" spans="1:8" ht="15.75" x14ac:dyDescent="0.25">
      <c r="A93" s="45" t="s">
        <v>259</v>
      </c>
      <c r="B93" s="40" t="s">
        <v>986</v>
      </c>
      <c r="C93" s="40" t="s">
        <v>260</v>
      </c>
      <c r="D93" s="40"/>
      <c r="E93" s="40"/>
      <c r="F93" s="40"/>
      <c r="G93" s="10">
        <f t="shared" ref="G93:H96" si="17">G94</f>
        <v>250</v>
      </c>
      <c r="H93" s="10">
        <f t="shared" si="17"/>
        <v>250</v>
      </c>
    </row>
    <row r="94" spans="1:8" ht="15.75" x14ac:dyDescent="0.25">
      <c r="A94" s="45" t="s">
        <v>268</v>
      </c>
      <c r="B94" s="40" t="s">
        <v>986</v>
      </c>
      <c r="C94" s="40" t="s">
        <v>260</v>
      </c>
      <c r="D94" s="40" t="s">
        <v>231</v>
      </c>
      <c r="E94" s="40"/>
      <c r="F94" s="40"/>
      <c r="G94" s="10">
        <f>G95</f>
        <v>250</v>
      </c>
      <c r="H94" s="10">
        <f>H95</f>
        <v>250</v>
      </c>
    </row>
    <row r="95" spans="1:8" ht="63" x14ac:dyDescent="0.25">
      <c r="A95" s="25" t="s">
        <v>1207</v>
      </c>
      <c r="B95" s="20" t="s">
        <v>985</v>
      </c>
      <c r="C95" s="40" t="s">
        <v>260</v>
      </c>
      <c r="D95" s="40" t="s">
        <v>231</v>
      </c>
      <c r="E95" s="40"/>
      <c r="F95" s="40"/>
      <c r="G95" s="10">
        <f t="shared" si="17"/>
        <v>250</v>
      </c>
      <c r="H95" s="10">
        <f t="shared" si="17"/>
        <v>250</v>
      </c>
    </row>
    <row r="96" spans="1:8" ht="31.5" x14ac:dyDescent="0.25">
      <c r="A96" s="25" t="s">
        <v>264</v>
      </c>
      <c r="B96" s="20" t="s">
        <v>985</v>
      </c>
      <c r="C96" s="40" t="s">
        <v>260</v>
      </c>
      <c r="D96" s="40" t="s">
        <v>231</v>
      </c>
      <c r="E96" s="40" t="s">
        <v>265</v>
      </c>
      <c r="F96" s="40"/>
      <c r="G96" s="10">
        <f t="shared" si="17"/>
        <v>250</v>
      </c>
      <c r="H96" s="10">
        <f t="shared" si="17"/>
        <v>250</v>
      </c>
    </row>
    <row r="97" spans="1:8" ht="31.5" x14ac:dyDescent="0.25">
      <c r="A97" s="25" t="s">
        <v>364</v>
      </c>
      <c r="B97" s="20" t="s">
        <v>985</v>
      </c>
      <c r="C97" s="40" t="s">
        <v>260</v>
      </c>
      <c r="D97" s="40" t="s">
        <v>231</v>
      </c>
      <c r="E97" s="40" t="s">
        <v>365</v>
      </c>
      <c r="F97" s="40"/>
      <c r="G97" s="10">
        <f>'пр.5.1.ведом.21-22'!G472</f>
        <v>250</v>
      </c>
      <c r="H97" s="10">
        <f>'пр.5.1.ведом.21-22'!H472</f>
        <v>250</v>
      </c>
    </row>
    <row r="98" spans="1:8" ht="47.25" x14ac:dyDescent="0.25">
      <c r="A98" s="45" t="s">
        <v>277</v>
      </c>
      <c r="B98" s="20" t="s">
        <v>985</v>
      </c>
      <c r="C98" s="40" t="s">
        <v>260</v>
      </c>
      <c r="D98" s="40" t="s">
        <v>231</v>
      </c>
      <c r="E98" s="40" t="s">
        <v>365</v>
      </c>
      <c r="F98" s="40" t="s">
        <v>644</v>
      </c>
      <c r="G98" s="10">
        <f>G97</f>
        <v>250</v>
      </c>
      <c r="H98" s="10">
        <f>H97</f>
        <v>250</v>
      </c>
    </row>
    <row r="99" spans="1:8" ht="63" x14ac:dyDescent="0.25">
      <c r="A99" s="58" t="s">
        <v>380</v>
      </c>
      <c r="B99" s="7" t="s">
        <v>381</v>
      </c>
      <c r="C99" s="7"/>
      <c r="D99" s="7"/>
      <c r="E99" s="7"/>
      <c r="F99" s="7"/>
      <c r="G99" s="59">
        <f t="shared" ref="G99:H99" si="18">G101</f>
        <v>260</v>
      </c>
      <c r="H99" s="59">
        <f t="shared" si="18"/>
        <v>0</v>
      </c>
    </row>
    <row r="100" spans="1:8" ht="31.5" x14ac:dyDescent="0.25">
      <c r="A100" s="23" t="s">
        <v>1147</v>
      </c>
      <c r="B100" s="24" t="s">
        <v>966</v>
      </c>
      <c r="C100" s="7"/>
      <c r="D100" s="7"/>
      <c r="E100" s="7"/>
      <c r="F100" s="7"/>
      <c r="G100" s="59">
        <f t="shared" ref="G100:H102" si="19">G101</f>
        <v>260</v>
      </c>
      <c r="H100" s="59">
        <f t="shared" si="19"/>
        <v>0</v>
      </c>
    </row>
    <row r="101" spans="1:8" ht="15.75" x14ac:dyDescent="0.25">
      <c r="A101" s="45" t="s">
        <v>314</v>
      </c>
      <c r="B101" s="40" t="s">
        <v>966</v>
      </c>
      <c r="C101" s="40" t="s">
        <v>315</v>
      </c>
      <c r="D101" s="40"/>
      <c r="E101" s="40"/>
      <c r="F101" s="40"/>
      <c r="G101" s="10">
        <f t="shared" si="19"/>
        <v>260</v>
      </c>
      <c r="H101" s="10">
        <f t="shared" si="19"/>
        <v>0</v>
      </c>
    </row>
    <row r="102" spans="1:8" ht="31.5" x14ac:dyDescent="0.25">
      <c r="A102" s="45" t="s">
        <v>349</v>
      </c>
      <c r="B102" s="40" t="s">
        <v>966</v>
      </c>
      <c r="C102" s="40" t="s">
        <v>315</v>
      </c>
      <c r="D102" s="40" t="s">
        <v>166</v>
      </c>
      <c r="E102" s="40"/>
      <c r="F102" s="40"/>
      <c r="G102" s="10">
        <f t="shared" si="19"/>
        <v>260</v>
      </c>
      <c r="H102" s="10">
        <f t="shared" si="19"/>
        <v>0</v>
      </c>
    </row>
    <row r="103" spans="1:8" ht="31.5" x14ac:dyDescent="0.25">
      <c r="A103" s="29" t="s">
        <v>173</v>
      </c>
      <c r="B103" s="20" t="s">
        <v>1223</v>
      </c>
      <c r="C103" s="40" t="s">
        <v>315</v>
      </c>
      <c r="D103" s="40" t="s">
        <v>166</v>
      </c>
      <c r="E103" s="40"/>
      <c r="F103" s="40"/>
      <c r="G103" s="10">
        <f t="shared" ref="G103:H104" si="20">G104</f>
        <v>260</v>
      </c>
      <c r="H103" s="10">
        <f t="shared" si="20"/>
        <v>0</v>
      </c>
    </row>
    <row r="104" spans="1:8" ht="31.5" x14ac:dyDescent="0.25">
      <c r="A104" s="29" t="s">
        <v>147</v>
      </c>
      <c r="B104" s="20" t="s">
        <v>1223</v>
      </c>
      <c r="C104" s="40" t="s">
        <v>315</v>
      </c>
      <c r="D104" s="40" t="s">
        <v>166</v>
      </c>
      <c r="E104" s="40" t="s">
        <v>148</v>
      </c>
      <c r="F104" s="40"/>
      <c r="G104" s="10">
        <f t="shared" si="20"/>
        <v>260</v>
      </c>
      <c r="H104" s="10">
        <f t="shared" si="20"/>
        <v>0</v>
      </c>
    </row>
    <row r="105" spans="1:8" ht="47.25" x14ac:dyDescent="0.25">
      <c r="A105" s="29" t="s">
        <v>149</v>
      </c>
      <c r="B105" s="20" t="s">
        <v>1223</v>
      </c>
      <c r="C105" s="40" t="s">
        <v>315</v>
      </c>
      <c r="D105" s="40" t="s">
        <v>166</v>
      </c>
      <c r="E105" s="40" t="s">
        <v>150</v>
      </c>
      <c r="F105" s="40"/>
      <c r="G105" s="10">
        <f>'Пр.4 ведом.20'!G443</f>
        <v>260</v>
      </c>
      <c r="H105" s="10">
        <f>'Пр.4 ведом.20'!H443</f>
        <v>0</v>
      </c>
    </row>
    <row r="106" spans="1:8" ht="47.25" x14ac:dyDescent="0.25">
      <c r="A106" s="45" t="s">
        <v>277</v>
      </c>
      <c r="B106" s="20" t="s">
        <v>1223</v>
      </c>
      <c r="C106" s="40" t="s">
        <v>315</v>
      </c>
      <c r="D106" s="40" t="s">
        <v>166</v>
      </c>
      <c r="E106" s="40" t="s">
        <v>150</v>
      </c>
      <c r="F106" s="40" t="s">
        <v>644</v>
      </c>
      <c r="G106" s="10">
        <f>G105</f>
        <v>260</v>
      </c>
      <c r="H106" s="10">
        <f>H105</f>
        <v>0</v>
      </c>
    </row>
    <row r="107" spans="1:8" ht="63" x14ac:dyDescent="0.25">
      <c r="A107" s="41" t="s">
        <v>383</v>
      </c>
      <c r="B107" s="7" t="s">
        <v>384</v>
      </c>
      <c r="C107" s="7"/>
      <c r="D107" s="7"/>
      <c r="E107" s="7"/>
      <c r="F107" s="7"/>
      <c r="G107" s="59">
        <f>G108+G119+G130+G141</f>
        <v>570</v>
      </c>
      <c r="H107" s="59">
        <f>H108+H119+H130+H141</f>
        <v>448.7</v>
      </c>
    </row>
    <row r="108" spans="1:8" ht="47.25" hidden="1" x14ac:dyDescent="0.25">
      <c r="A108" s="227" t="s">
        <v>1211</v>
      </c>
      <c r="B108" s="24" t="s">
        <v>937</v>
      </c>
      <c r="C108" s="7"/>
      <c r="D108" s="7"/>
      <c r="E108" s="7"/>
      <c r="F108" s="7"/>
      <c r="G108" s="59">
        <f>G109</f>
        <v>0</v>
      </c>
      <c r="H108" s="59">
        <f>H109</f>
        <v>0</v>
      </c>
    </row>
    <row r="109" spans="1:8" ht="15.75" hidden="1" x14ac:dyDescent="0.25">
      <c r="A109" s="45" t="s">
        <v>248</v>
      </c>
      <c r="B109" s="40" t="s">
        <v>937</v>
      </c>
      <c r="C109" s="40" t="s">
        <v>166</v>
      </c>
      <c r="D109" s="40"/>
      <c r="E109" s="40"/>
      <c r="F109" s="40"/>
      <c r="G109" s="10">
        <f t="shared" ref="G109:H109" si="21">G110</f>
        <v>0</v>
      </c>
      <c r="H109" s="10">
        <f t="shared" si="21"/>
        <v>0</v>
      </c>
    </row>
    <row r="110" spans="1:8" ht="31.5" hidden="1" x14ac:dyDescent="0.25">
      <c r="A110" s="45" t="s">
        <v>253</v>
      </c>
      <c r="B110" s="40" t="s">
        <v>937</v>
      </c>
      <c r="C110" s="40" t="s">
        <v>166</v>
      </c>
      <c r="D110" s="40" t="s">
        <v>254</v>
      </c>
      <c r="E110" s="40"/>
      <c r="F110" s="40"/>
      <c r="G110" s="10">
        <f>G111+G115</f>
        <v>0</v>
      </c>
      <c r="H110" s="10">
        <f>H111+H115</f>
        <v>0</v>
      </c>
    </row>
    <row r="111" spans="1:8" ht="63" hidden="1" x14ac:dyDescent="0.25">
      <c r="A111" s="25" t="s">
        <v>391</v>
      </c>
      <c r="B111" s="20" t="s">
        <v>1212</v>
      </c>
      <c r="C111" s="40" t="s">
        <v>166</v>
      </c>
      <c r="D111" s="40" t="s">
        <v>254</v>
      </c>
      <c r="E111" s="40"/>
      <c r="F111" s="40"/>
      <c r="G111" s="10">
        <f t="shared" ref="G111:H111" si="22">G112</f>
        <v>0</v>
      </c>
      <c r="H111" s="10">
        <f t="shared" si="22"/>
        <v>0</v>
      </c>
    </row>
    <row r="112" spans="1:8" ht="31.5" hidden="1" x14ac:dyDescent="0.25">
      <c r="A112" s="25" t="s">
        <v>264</v>
      </c>
      <c r="B112" s="20" t="s">
        <v>1212</v>
      </c>
      <c r="C112" s="40" t="s">
        <v>166</v>
      </c>
      <c r="D112" s="40" t="s">
        <v>254</v>
      </c>
      <c r="E112" s="40" t="s">
        <v>265</v>
      </c>
      <c r="F112" s="40"/>
      <c r="G112" s="10">
        <f>G113</f>
        <v>0</v>
      </c>
      <c r="H112" s="10">
        <f>H113</f>
        <v>0</v>
      </c>
    </row>
    <row r="113" spans="1:8" ht="47.25" hidden="1" x14ac:dyDescent="0.25">
      <c r="A113" s="25" t="s">
        <v>266</v>
      </c>
      <c r="B113" s="20" t="s">
        <v>1212</v>
      </c>
      <c r="C113" s="40" t="s">
        <v>166</v>
      </c>
      <c r="D113" s="40" t="s">
        <v>254</v>
      </c>
      <c r="E113" s="40" t="s">
        <v>267</v>
      </c>
      <c r="F113" s="40"/>
      <c r="G113" s="10">
        <f>'пр.5.1.ведом.21-22'!G255</f>
        <v>0</v>
      </c>
      <c r="H113" s="10">
        <f>'пр.5.1.ведом.21-22'!H255</f>
        <v>0</v>
      </c>
    </row>
    <row r="114" spans="1:8" ht="47.25" hidden="1" x14ac:dyDescent="0.25">
      <c r="A114" s="45" t="s">
        <v>277</v>
      </c>
      <c r="B114" s="20" t="s">
        <v>1212</v>
      </c>
      <c r="C114" s="40" t="s">
        <v>166</v>
      </c>
      <c r="D114" s="40" t="s">
        <v>254</v>
      </c>
      <c r="E114" s="40" t="s">
        <v>267</v>
      </c>
      <c r="F114" s="40" t="s">
        <v>644</v>
      </c>
      <c r="G114" s="10">
        <f>G113</f>
        <v>0</v>
      </c>
      <c r="H114" s="10">
        <f>H113</f>
        <v>0</v>
      </c>
    </row>
    <row r="115" spans="1:8" ht="63" hidden="1" x14ac:dyDescent="0.25">
      <c r="A115" s="25" t="s">
        <v>391</v>
      </c>
      <c r="B115" s="20" t="s">
        <v>1213</v>
      </c>
      <c r="C115" s="40" t="s">
        <v>166</v>
      </c>
      <c r="D115" s="40" t="s">
        <v>254</v>
      </c>
      <c r="E115" s="40"/>
      <c r="F115" s="40"/>
      <c r="G115" s="10">
        <f>G116</f>
        <v>0</v>
      </c>
      <c r="H115" s="10">
        <f>H116</f>
        <v>0</v>
      </c>
    </row>
    <row r="116" spans="1:8" ht="31.5" hidden="1" x14ac:dyDescent="0.25">
      <c r="A116" s="25" t="s">
        <v>264</v>
      </c>
      <c r="B116" s="20" t="s">
        <v>1213</v>
      </c>
      <c r="C116" s="40" t="s">
        <v>166</v>
      </c>
      <c r="D116" s="40" t="s">
        <v>254</v>
      </c>
      <c r="E116" s="40" t="s">
        <v>265</v>
      </c>
      <c r="F116" s="40"/>
      <c r="G116" s="10">
        <f>G117</f>
        <v>0</v>
      </c>
      <c r="H116" s="10">
        <f>H117</f>
        <v>0</v>
      </c>
    </row>
    <row r="117" spans="1:8" ht="47.25" hidden="1" x14ac:dyDescent="0.25">
      <c r="A117" s="25" t="s">
        <v>266</v>
      </c>
      <c r="B117" s="20" t="s">
        <v>1213</v>
      </c>
      <c r="C117" s="40" t="s">
        <v>166</v>
      </c>
      <c r="D117" s="40" t="s">
        <v>254</v>
      </c>
      <c r="E117" s="40" t="s">
        <v>267</v>
      </c>
      <c r="F117" s="40"/>
      <c r="G117" s="10">
        <f>'пр.5.1.ведом.21-22'!G258</f>
        <v>0</v>
      </c>
      <c r="H117" s="10">
        <f>'пр.5.1.ведом.21-22'!H258</f>
        <v>0</v>
      </c>
    </row>
    <row r="118" spans="1:8" ht="47.25" hidden="1" x14ac:dyDescent="0.25">
      <c r="A118" s="45" t="s">
        <v>277</v>
      </c>
      <c r="B118" s="20" t="s">
        <v>1213</v>
      </c>
      <c r="C118" s="40" t="s">
        <v>166</v>
      </c>
      <c r="D118" s="40" t="s">
        <v>254</v>
      </c>
      <c r="E118" s="40" t="s">
        <v>267</v>
      </c>
      <c r="F118" s="40" t="s">
        <v>644</v>
      </c>
      <c r="G118" s="10">
        <f>G117</f>
        <v>0</v>
      </c>
      <c r="H118" s="10">
        <f>H117</f>
        <v>0</v>
      </c>
    </row>
    <row r="119" spans="1:8" ht="47.25" x14ac:dyDescent="0.25">
      <c r="A119" s="23" t="s">
        <v>1209</v>
      </c>
      <c r="B119" s="24" t="s">
        <v>938</v>
      </c>
      <c r="C119" s="7"/>
      <c r="D119" s="7"/>
      <c r="E119" s="7"/>
      <c r="F119" s="7"/>
      <c r="G119" s="59">
        <f>G122+G126</f>
        <v>560</v>
      </c>
      <c r="H119" s="59">
        <f>H122+H126</f>
        <v>438.7</v>
      </c>
    </row>
    <row r="120" spans="1:8" ht="15.75" x14ac:dyDescent="0.25">
      <c r="A120" s="45" t="s">
        <v>248</v>
      </c>
      <c r="B120" s="40" t="s">
        <v>938</v>
      </c>
      <c r="C120" s="40" t="s">
        <v>166</v>
      </c>
      <c r="D120" s="40"/>
      <c r="E120" s="40"/>
      <c r="F120" s="40"/>
      <c r="G120" s="10">
        <f t="shared" ref="G120:H120" si="23">G121</f>
        <v>560</v>
      </c>
      <c r="H120" s="10">
        <f t="shared" si="23"/>
        <v>438.7</v>
      </c>
    </row>
    <row r="121" spans="1:8" ht="31.5" x14ac:dyDescent="0.25">
      <c r="A121" s="45" t="s">
        <v>253</v>
      </c>
      <c r="B121" s="40" t="s">
        <v>938</v>
      </c>
      <c r="C121" s="40" t="s">
        <v>166</v>
      </c>
      <c r="D121" s="40" t="s">
        <v>254</v>
      </c>
      <c r="E121" s="40"/>
      <c r="F121" s="40"/>
      <c r="G121" s="10">
        <f>G122+G126</f>
        <v>560</v>
      </c>
      <c r="H121" s="10">
        <f>H122+H126</f>
        <v>438.7</v>
      </c>
    </row>
    <row r="122" spans="1:8" ht="31.5" x14ac:dyDescent="0.25">
      <c r="A122" s="25" t="s">
        <v>1210</v>
      </c>
      <c r="B122" s="20" t="s">
        <v>1214</v>
      </c>
      <c r="C122" s="40" t="s">
        <v>166</v>
      </c>
      <c r="D122" s="40" t="s">
        <v>254</v>
      </c>
      <c r="E122" s="40"/>
      <c r="F122" s="40"/>
      <c r="G122" s="10">
        <f>G123</f>
        <v>60</v>
      </c>
      <c r="H122" s="10">
        <f>H123</f>
        <v>60</v>
      </c>
    </row>
    <row r="123" spans="1:8" ht="47.25" x14ac:dyDescent="0.25">
      <c r="A123" s="25" t="s">
        <v>288</v>
      </c>
      <c r="B123" s="20" t="s">
        <v>1214</v>
      </c>
      <c r="C123" s="40" t="s">
        <v>166</v>
      </c>
      <c r="D123" s="40" t="s">
        <v>254</v>
      </c>
      <c r="E123" s="40" t="s">
        <v>289</v>
      </c>
      <c r="F123" s="40"/>
      <c r="G123" s="10">
        <f>G124</f>
        <v>60</v>
      </c>
      <c r="H123" s="10">
        <f>H124</f>
        <v>60</v>
      </c>
    </row>
    <row r="124" spans="1:8" ht="78.75" x14ac:dyDescent="0.25">
      <c r="A124" s="25" t="s">
        <v>1291</v>
      </c>
      <c r="B124" s="20" t="s">
        <v>1214</v>
      </c>
      <c r="C124" s="40" t="s">
        <v>166</v>
      </c>
      <c r="D124" s="40" t="s">
        <v>254</v>
      </c>
      <c r="E124" s="40" t="s">
        <v>388</v>
      </c>
      <c r="F124" s="40"/>
      <c r="G124" s="10">
        <f>'пр.5.1.ведом.21-22'!G262</f>
        <v>60</v>
      </c>
      <c r="H124" s="10">
        <f>'пр.5.1.ведом.21-22'!H262</f>
        <v>60</v>
      </c>
    </row>
    <row r="125" spans="1:8" ht="47.25" x14ac:dyDescent="0.25">
      <c r="A125" s="45" t="s">
        <v>277</v>
      </c>
      <c r="B125" s="20" t="s">
        <v>1214</v>
      </c>
      <c r="C125" s="40" t="s">
        <v>166</v>
      </c>
      <c r="D125" s="40" t="s">
        <v>254</v>
      </c>
      <c r="E125" s="40" t="s">
        <v>388</v>
      </c>
      <c r="F125" s="40" t="s">
        <v>644</v>
      </c>
      <c r="G125" s="10">
        <f>G124</f>
        <v>60</v>
      </c>
      <c r="H125" s="10">
        <f>H124</f>
        <v>60</v>
      </c>
    </row>
    <row r="126" spans="1:8" ht="126" hidden="1" x14ac:dyDescent="0.25">
      <c r="A126" s="25" t="s">
        <v>389</v>
      </c>
      <c r="B126" s="20" t="s">
        <v>1215</v>
      </c>
      <c r="C126" s="40" t="s">
        <v>166</v>
      </c>
      <c r="D126" s="40" t="s">
        <v>254</v>
      </c>
      <c r="E126" s="40"/>
      <c r="F126" s="40"/>
      <c r="G126" s="10">
        <f>G127</f>
        <v>500</v>
      </c>
      <c r="H126" s="10">
        <f>H127</f>
        <v>378.7</v>
      </c>
    </row>
    <row r="127" spans="1:8" ht="47.25" hidden="1" x14ac:dyDescent="0.25">
      <c r="A127" s="25" t="s">
        <v>288</v>
      </c>
      <c r="B127" s="20" t="s">
        <v>1215</v>
      </c>
      <c r="C127" s="40" t="s">
        <v>166</v>
      </c>
      <c r="D127" s="40" t="s">
        <v>254</v>
      </c>
      <c r="E127" s="40" t="s">
        <v>289</v>
      </c>
      <c r="F127" s="40"/>
      <c r="G127" s="10">
        <f>G128</f>
        <v>500</v>
      </c>
      <c r="H127" s="10">
        <f>H128</f>
        <v>378.7</v>
      </c>
    </row>
    <row r="128" spans="1:8" ht="78.75" hidden="1" x14ac:dyDescent="0.25">
      <c r="A128" s="25" t="s">
        <v>1291</v>
      </c>
      <c r="B128" s="20" t="s">
        <v>1215</v>
      </c>
      <c r="C128" s="40" t="s">
        <v>166</v>
      </c>
      <c r="D128" s="40" t="s">
        <v>254</v>
      </c>
      <c r="E128" s="40" t="s">
        <v>388</v>
      </c>
      <c r="F128" s="40"/>
      <c r="G128" s="10">
        <f>'пр.5.1.ведом.21-22'!G265</f>
        <v>500</v>
      </c>
      <c r="H128" s="10">
        <f>'пр.5.1.ведом.21-22'!H265</f>
        <v>378.7</v>
      </c>
    </row>
    <row r="129" spans="1:8" ht="47.25" hidden="1" x14ac:dyDescent="0.25">
      <c r="A129" s="45" t="s">
        <v>277</v>
      </c>
      <c r="B129" s="20" t="s">
        <v>1215</v>
      </c>
      <c r="C129" s="40" t="s">
        <v>166</v>
      </c>
      <c r="D129" s="40" t="s">
        <v>254</v>
      </c>
      <c r="E129" s="40" t="s">
        <v>388</v>
      </c>
      <c r="F129" s="40" t="s">
        <v>644</v>
      </c>
      <c r="G129" s="10">
        <f>G128</f>
        <v>500</v>
      </c>
      <c r="H129" s="10">
        <f>H128</f>
        <v>378.7</v>
      </c>
    </row>
    <row r="130" spans="1:8" ht="31.5" hidden="1" x14ac:dyDescent="0.25">
      <c r="A130" s="23" t="s">
        <v>1145</v>
      </c>
      <c r="B130" s="24" t="s">
        <v>939</v>
      </c>
      <c r="C130" s="7"/>
      <c r="D130" s="7"/>
      <c r="E130" s="7"/>
      <c r="F130" s="7"/>
      <c r="G130" s="59">
        <f>G133+G137</f>
        <v>0</v>
      </c>
      <c r="H130" s="59">
        <f>H133+H137</f>
        <v>0</v>
      </c>
    </row>
    <row r="131" spans="1:8" ht="15.75" hidden="1" x14ac:dyDescent="0.25">
      <c r="A131" s="45" t="s">
        <v>248</v>
      </c>
      <c r="B131" s="40" t="s">
        <v>939</v>
      </c>
      <c r="C131" s="40" t="s">
        <v>166</v>
      </c>
      <c r="D131" s="40"/>
      <c r="E131" s="40"/>
      <c r="F131" s="40"/>
      <c r="G131" s="10">
        <f t="shared" ref="G131:H131" si="24">G132</f>
        <v>0</v>
      </c>
      <c r="H131" s="10">
        <f t="shared" si="24"/>
        <v>0</v>
      </c>
    </row>
    <row r="132" spans="1:8" ht="31.5" hidden="1" x14ac:dyDescent="0.25">
      <c r="A132" s="45" t="s">
        <v>253</v>
      </c>
      <c r="B132" s="40" t="s">
        <v>939</v>
      </c>
      <c r="C132" s="40" t="s">
        <v>166</v>
      </c>
      <c r="D132" s="40" t="s">
        <v>254</v>
      </c>
      <c r="E132" s="40"/>
      <c r="F132" s="40"/>
      <c r="G132" s="10">
        <f>G133+G137</f>
        <v>0</v>
      </c>
      <c r="H132" s="10">
        <f>H133+H137</f>
        <v>0</v>
      </c>
    </row>
    <row r="133" spans="1:8" ht="47.25" hidden="1" x14ac:dyDescent="0.25">
      <c r="A133" s="270" t="s">
        <v>1218</v>
      </c>
      <c r="B133" s="20" t="s">
        <v>1216</v>
      </c>
      <c r="C133" s="40" t="s">
        <v>166</v>
      </c>
      <c r="D133" s="40" t="s">
        <v>254</v>
      </c>
      <c r="E133" s="40"/>
      <c r="F133" s="40"/>
      <c r="G133" s="10">
        <f>G134</f>
        <v>0</v>
      </c>
      <c r="H133" s="10">
        <f>H134</f>
        <v>0</v>
      </c>
    </row>
    <row r="134" spans="1:8" ht="31.5" hidden="1" x14ac:dyDescent="0.25">
      <c r="A134" s="25" t="s">
        <v>147</v>
      </c>
      <c r="B134" s="20" t="s">
        <v>1216</v>
      </c>
      <c r="C134" s="40" t="s">
        <v>166</v>
      </c>
      <c r="D134" s="40" t="s">
        <v>254</v>
      </c>
      <c r="E134" s="40" t="s">
        <v>148</v>
      </c>
      <c r="F134" s="40"/>
      <c r="G134" s="10">
        <f>G135</f>
        <v>0</v>
      </c>
      <c r="H134" s="10">
        <f>H135</f>
        <v>0</v>
      </c>
    </row>
    <row r="135" spans="1:8" ht="47.25" hidden="1" x14ac:dyDescent="0.25">
      <c r="A135" s="25" t="s">
        <v>149</v>
      </c>
      <c r="B135" s="20" t="s">
        <v>1216</v>
      </c>
      <c r="C135" s="40" t="s">
        <v>166</v>
      </c>
      <c r="D135" s="40" t="s">
        <v>254</v>
      </c>
      <c r="E135" s="40" t="s">
        <v>150</v>
      </c>
      <c r="F135" s="40"/>
      <c r="G135" s="10">
        <f>'пр.5.1.ведом.21-22'!G269</f>
        <v>0</v>
      </c>
      <c r="H135" s="10">
        <f>'пр.5.1.ведом.21-22'!H269</f>
        <v>0</v>
      </c>
    </row>
    <row r="136" spans="1:8" ht="47.25" hidden="1" x14ac:dyDescent="0.25">
      <c r="A136" s="45" t="s">
        <v>277</v>
      </c>
      <c r="B136" s="20" t="s">
        <v>1216</v>
      </c>
      <c r="C136" s="40" t="s">
        <v>166</v>
      </c>
      <c r="D136" s="40" t="s">
        <v>254</v>
      </c>
      <c r="E136" s="40" t="s">
        <v>150</v>
      </c>
      <c r="F136" s="9" t="s">
        <v>644</v>
      </c>
      <c r="G136" s="10">
        <f>G135</f>
        <v>0</v>
      </c>
      <c r="H136" s="10">
        <f>H135</f>
        <v>0</v>
      </c>
    </row>
    <row r="137" spans="1:8" ht="47.25" hidden="1" x14ac:dyDescent="0.25">
      <c r="A137" s="25" t="s">
        <v>393</v>
      </c>
      <c r="B137" s="20" t="s">
        <v>1217</v>
      </c>
      <c r="C137" s="40" t="s">
        <v>166</v>
      </c>
      <c r="D137" s="40" t="s">
        <v>254</v>
      </c>
      <c r="E137" s="40"/>
      <c r="F137" s="40"/>
      <c r="G137" s="10">
        <f>G138</f>
        <v>0</v>
      </c>
      <c r="H137" s="10">
        <f>H138</f>
        <v>0</v>
      </c>
    </row>
    <row r="138" spans="1:8" ht="31.5" hidden="1" x14ac:dyDescent="0.25">
      <c r="A138" s="25" t="s">
        <v>147</v>
      </c>
      <c r="B138" s="20" t="s">
        <v>1217</v>
      </c>
      <c r="C138" s="40" t="s">
        <v>166</v>
      </c>
      <c r="D138" s="40" t="s">
        <v>254</v>
      </c>
      <c r="E138" s="40" t="s">
        <v>148</v>
      </c>
      <c r="F138" s="40"/>
      <c r="G138" s="10">
        <f>G139</f>
        <v>0</v>
      </c>
      <c r="H138" s="10">
        <f>H139</f>
        <v>0</v>
      </c>
    </row>
    <row r="139" spans="1:8" ht="47.25" hidden="1" x14ac:dyDescent="0.25">
      <c r="A139" s="25" t="s">
        <v>149</v>
      </c>
      <c r="B139" s="20" t="s">
        <v>1217</v>
      </c>
      <c r="C139" s="40" t="s">
        <v>166</v>
      </c>
      <c r="D139" s="40" t="s">
        <v>254</v>
      </c>
      <c r="E139" s="40" t="s">
        <v>150</v>
      </c>
      <c r="F139" s="40"/>
      <c r="G139" s="10">
        <f>'пр.5.1.ведом.21-22'!G272</f>
        <v>0</v>
      </c>
      <c r="H139" s="10">
        <f>'пр.5.1.ведом.21-22'!H272</f>
        <v>0</v>
      </c>
    </row>
    <row r="140" spans="1:8" ht="47.25" hidden="1" x14ac:dyDescent="0.25">
      <c r="A140" s="45" t="s">
        <v>277</v>
      </c>
      <c r="B140" s="20" t="s">
        <v>1217</v>
      </c>
      <c r="C140" s="40" t="s">
        <v>166</v>
      </c>
      <c r="D140" s="40" t="s">
        <v>254</v>
      </c>
      <c r="E140" s="40" t="s">
        <v>150</v>
      </c>
      <c r="F140" s="9" t="s">
        <v>644</v>
      </c>
      <c r="G140" s="10">
        <f>G139</f>
        <v>0</v>
      </c>
      <c r="H140" s="10">
        <f>H139</f>
        <v>0</v>
      </c>
    </row>
    <row r="141" spans="1:8" s="217" customFormat="1" ht="47.25" x14ac:dyDescent="0.25">
      <c r="A141" s="224" t="s">
        <v>1309</v>
      </c>
      <c r="B141" s="24" t="s">
        <v>1308</v>
      </c>
      <c r="C141" s="7"/>
      <c r="D141" s="7"/>
      <c r="E141" s="7"/>
      <c r="F141" s="7"/>
      <c r="G141" s="59">
        <f>G142</f>
        <v>10</v>
      </c>
      <c r="H141" s="59">
        <f>H142</f>
        <v>10</v>
      </c>
    </row>
    <row r="142" spans="1:8" s="217" customFormat="1" ht="15.75" x14ac:dyDescent="0.25">
      <c r="A142" s="45" t="s">
        <v>248</v>
      </c>
      <c r="B142" s="40" t="s">
        <v>1308</v>
      </c>
      <c r="C142" s="40" t="s">
        <v>166</v>
      </c>
      <c r="D142" s="40"/>
      <c r="E142" s="40"/>
      <c r="F142" s="40"/>
      <c r="G142" s="10">
        <f t="shared" ref="G142:H142" si="25">G143</f>
        <v>10</v>
      </c>
      <c r="H142" s="10">
        <f t="shared" si="25"/>
        <v>10</v>
      </c>
    </row>
    <row r="143" spans="1:8" s="217" customFormat="1" ht="31.5" x14ac:dyDescent="0.25">
      <c r="A143" s="45" t="s">
        <v>253</v>
      </c>
      <c r="B143" s="40" t="s">
        <v>1308</v>
      </c>
      <c r="C143" s="40" t="s">
        <v>166</v>
      </c>
      <c r="D143" s="40" t="s">
        <v>254</v>
      </c>
      <c r="E143" s="40"/>
      <c r="F143" s="40"/>
      <c r="G143" s="10">
        <f t="shared" ref="G143:H145" si="26">G144</f>
        <v>10</v>
      </c>
      <c r="H143" s="10">
        <f t="shared" si="26"/>
        <v>10</v>
      </c>
    </row>
    <row r="144" spans="1:8" s="217" customFormat="1" ht="31.5" x14ac:dyDescent="0.25">
      <c r="A144" s="248" t="s">
        <v>1310</v>
      </c>
      <c r="B144" s="20" t="s">
        <v>1360</v>
      </c>
      <c r="C144" s="40" t="s">
        <v>166</v>
      </c>
      <c r="D144" s="40" t="s">
        <v>254</v>
      </c>
      <c r="E144" s="40"/>
      <c r="F144" s="40"/>
      <c r="G144" s="10">
        <f t="shared" si="26"/>
        <v>10</v>
      </c>
      <c r="H144" s="10">
        <f t="shared" si="26"/>
        <v>10</v>
      </c>
    </row>
    <row r="145" spans="1:8" s="217" customFormat="1" ht="31.5" x14ac:dyDescent="0.25">
      <c r="A145" s="25" t="s">
        <v>147</v>
      </c>
      <c r="B145" s="20" t="s">
        <v>1360</v>
      </c>
      <c r="C145" s="40" t="s">
        <v>166</v>
      </c>
      <c r="D145" s="40" t="s">
        <v>254</v>
      </c>
      <c r="E145" s="40" t="s">
        <v>148</v>
      </c>
      <c r="F145" s="40"/>
      <c r="G145" s="10">
        <f t="shared" si="26"/>
        <v>10</v>
      </c>
      <c r="H145" s="10">
        <f t="shared" si="26"/>
        <v>10</v>
      </c>
    </row>
    <row r="146" spans="1:8" s="217" customFormat="1" ht="47.25" x14ac:dyDescent="0.25">
      <c r="A146" s="25" t="s">
        <v>149</v>
      </c>
      <c r="B146" s="20" t="s">
        <v>1360</v>
      </c>
      <c r="C146" s="40" t="s">
        <v>166</v>
      </c>
      <c r="D146" s="40" t="s">
        <v>254</v>
      </c>
      <c r="E146" s="40" t="s">
        <v>150</v>
      </c>
      <c r="F146" s="40"/>
      <c r="G146" s="10">
        <f>'пр.5.1.ведом.21-22'!G276</f>
        <v>10</v>
      </c>
      <c r="H146" s="10">
        <f>'пр.5.1.ведом.21-22'!H276</f>
        <v>10</v>
      </c>
    </row>
    <row r="147" spans="1:8" s="217" customFormat="1" ht="47.25" x14ac:dyDescent="0.25">
      <c r="A147" s="45" t="s">
        <v>277</v>
      </c>
      <c r="B147" s="20" t="s">
        <v>1360</v>
      </c>
      <c r="C147" s="40" t="s">
        <v>166</v>
      </c>
      <c r="D147" s="40" t="s">
        <v>254</v>
      </c>
      <c r="E147" s="40" t="s">
        <v>150</v>
      </c>
      <c r="F147" s="9" t="s">
        <v>644</v>
      </c>
      <c r="G147" s="10">
        <f>G146</f>
        <v>10</v>
      </c>
      <c r="H147" s="10">
        <f>H146</f>
        <v>10</v>
      </c>
    </row>
    <row r="148" spans="1:8" ht="110.25" x14ac:dyDescent="0.25">
      <c r="A148" s="41" t="s">
        <v>396</v>
      </c>
      <c r="B148" s="7" t="s">
        <v>397</v>
      </c>
      <c r="C148" s="7"/>
      <c r="D148" s="7"/>
      <c r="E148" s="7"/>
      <c r="F148" s="8"/>
      <c r="G148" s="59">
        <f>G149</f>
        <v>60</v>
      </c>
      <c r="H148" s="59">
        <f>H149</f>
        <v>60</v>
      </c>
    </row>
    <row r="149" spans="1:8" ht="63" x14ac:dyDescent="0.25">
      <c r="A149" s="268" t="s">
        <v>1219</v>
      </c>
      <c r="B149" s="7" t="s">
        <v>933</v>
      </c>
      <c r="C149" s="7"/>
      <c r="D149" s="7"/>
      <c r="E149" s="7"/>
      <c r="F149" s="8"/>
      <c r="G149" s="59">
        <f>G150</f>
        <v>60</v>
      </c>
      <c r="H149" s="59">
        <f>H150</f>
        <v>60</v>
      </c>
    </row>
    <row r="150" spans="1:8" ht="15.75" x14ac:dyDescent="0.25">
      <c r="A150" s="45" t="s">
        <v>133</v>
      </c>
      <c r="B150" s="40" t="s">
        <v>933</v>
      </c>
      <c r="C150" s="40" t="s">
        <v>134</v>
      </c>
      <c r="D150" s="40"/>
      <c r="E150" s="40"/>
      <c r="F150" s="9"/>
      <c r="G150" s="10">
        <f t="shared" ref="G150:H153" si="27">G151</f>
        <v>60</v>
      </c>
      <c r="H150" s="10">
        <f t="shared" si="27"/>
        <v>60</v>
      </c>
    </row>
    <row r="151" spans="1:8" ht="15.75" x14ac:dyDescent="0.25">
      <c r="A151" s="45" t="s">
        <v>155</v>
      </c>
      <c r="B151" s="40" t="s">
        <v>933</v>
      </c>
      <c r="C151" s="40" t="s">
        <v>134</v>
      </c>
      <c r="D151" s="40" t="s">
        <v>156</v>
      </c>
      <c r="E151" s="40"/>
      <c r="F151" s="9"/>
      <c r="G151" s="10">
        <f>G152+G156</f>
        <v>60</v>
      </c>
      <c r="H151" s="10">
        <f>H152+H156</f>
        <v>60</v>
      </c>
    </row>
    <row r="152" spans="1:8" ht="47.25" x14ac:dyDescent="0.25">
      <c r="A152" s="99" t="s">
        <v>1220</v>
      </c>
      <c r="B152" s="40" t="s">
        <v>934</v>
      </c>
      <c r="C152" s="40" t="s">
        <v>134</v>
      </c>
      <c r="D152" s="40" t="s">
        <v>156</v>
      </c>
      <c r="E152" s="40"/>
      <c r="F152" s="9"/>
      <c r="G152" s="10">
        <f t="shared" si="27"/>
        <v>60</v>
      </c>
      <c r="H152" s="10">
        <f t="shared" si="27"/>
        <v>60</v>
      </c>
    </row>
    <row r="153" spans="1:8" ht="31.5" x14ac:dyDescent="0.25">
      <c r="A153" s="29" t="s">
        <v>147</v>
      </c>
      <c r="B153" s="40" t="s">
        <v>934</v>
      </c>
      <c r="C153" s="40" t="s">
        <v>134</v>
      </c>
      <c r="D153" s="40" t="s">
        <v>156</v>
      </c>
      <c r="E153" s="40" t="s">
        <v>148</v>
      </c>
      <c r="F153" s="9"/>
      <c r="G153" s="10">
        <f t="shared" si="27"/>
        <v>60</v>
      </c>
      <c r="H153" s="10">
        <f t="shared" si="27"/>
        <v>60</v>
      </c>
    </row>
    <row r="154" spans="1:8" ht="47.25" x14ac:dyDescent="0.25">
      <c r="A154" s="29" t="s">
        <v>149</v>
      </c>
      <c r="B154" s="40" t="s">
        <v>934</v>
      </c>
      <c r="C154" s="40" t="s">
        <v>134</v>
      </c>
      <c r="D154" s="40" t="s">
        <v>156</v>
      </c>
      <c r="E154" s="40" t="s">
        <v>150</v>
      </c>
      <c r="F154" s="9"/>
      <c r="G154" s="10">
        <f>'пр.5.1.ведом.21-22'!G222</f>
        <v>60</v>
      </c>
      <c r="H154" s="10">
        <f>'пр.5.1.ведом.21-22'!H222</f>
        <v>60</v>
      </c>
    </row>
    <row r="155" spans="1:8" ht="47.25" x14ac:dyDescent="0.25">
      <c r="A155" s="45" t="s">
        <v>277</v>
      </c>
      <c r="B155" s="40" t="s">
        <v>934</v>
      </c>
      <c r="C155" s="40" t="s">
        <v>134</v>
      </c>
      <c r="D155" s="40" t="s">
        <v>156</v>
      </c>
      <c r="E155" s="40" t="s">
        <v>150</v>
      </c>
      <c r="F155" s="9" t="s">
        <v>644</v>
      </c>
      <c r="G155" s="10">
        <f>G154</f>
        <v>60</v>
      </c>
      <c r="H155" s="10">
        <f>H154</f>
        <v>60</v>
      </c>
    </row>
    <row r="156" spans="1:8" ht="47.25" hidden="1" x14ac:dyDescent="0.25">
      <c r="A156" s="35" t="s">
        <v>936</v>
      </c>
      <c r="B156" s="20" t="s">
        <v>935</v>
      </c>
      <c r="C156" s="40" t="s">
        <v>134</v>
      </c>
      <c r="D156" s="40" t="s">
        <v>156</v>
      </c>
      <c r="E156" s="40"/>
      <c r="F156" s="9"/>
      <c r="G156" s="10">
        <f>G157</f>
        <v>0</v>
      </c>
      <c r="H156" s="10">
        <f>H157</f>
        <v>0</v>
      </c>
    </row>
    <row r="157" spans="1:8" ht="31.5" hidden="1" x14ac:dyDescent="0.25">
      <c r="A157" s="25" t="s">
        <v>147</v>
      </c>
      <c r="B157" s="20" t="s">
        <v>935</v>
      </c>
      <c r="C157" s="40" t="s">
        <v>134</v>
      </c>
      <c r="D157" s="40" t="s">
        <v>156</v>
      </c>
      <c r="E157" s="40" t="s">
        <v>148</v>
      </c>
      <c r="F157" s="9"/>
      <c r="G157" s="10">
        <f>G158</f>
        <v>0</v>
      </c>
      <c r="H157" s="10">
        <f>H158</f>
        <v>0</v>
      </c>
    </row>
    <row r="158" spans="1:8" ht="47.25" hidden="1" x14ac:dyDescent="0.25">
      <c r="A158" s="25" t="s">
        <v>149</v>
      </c>
      <c r="B158" s="20" t="s">
        <v>935</v>
      </c>
      <c r="C158" s="40" t="s">
        <v>134</v>
      </c>
      <c r="D158" s="40" t="s">
        <v>156</v>
      </c>
      <c r="E158" s="40" t="s">
        <v>150</v>
      </c>
      <c r="F158" s="9"/>
      <c r="G158" s="10">
        <f>'пр.5.1.ведом.21-22'!G225</f>
        <v>0</v>
      </c>
      <c r="H158" s="10">
        <f>'пр.5.1.ведом.21-22'!H225</f>
        <v>0</v>
      </c>
    </row>
    <row r="159" spans="1:8" ht="47.25" hidden="1" x14ac:dyDescent="0.25">
      <c r="A159" s="45" t="s">
        <v>277</v>
      </c>
      <c r="B159" s="20" t="s">
        <v>935</v>
      </c>
      <c r="C159" s="40" t="s">
        <v>134</v>
      </c>
      <c r="D159" s="40" t="s">
        <v>156</v>
      </c>
      <c r="E159" s="40" t="s">
        <v>150</v>
      </c>
      <c r="F159" s="9" t="s">
        <v>644</v>
      </c>
      <c r="G159" s="10">
        <f>G158</f>
        <v>0</v>
      </c>
      <c r="H159" s="10">
        <f>H158</f>
        <v>0</v>
      </c>
    </row>
    <row r="160" spans="1:8" ht="47.25" x14ac:dyDescent="0.25">
      <c r="A160" s="58" t="s">
        <v>442</v>
      </c>
      <c r="B160" s="7" t="s">
        <v>422</v>
      </c>
      <c r="C160" s="7"/>
      <c r="D160" s="7"/>
      <c r="E160" s="7"/>
      <c r="F160" s="7"/>
      <c r="G160" s="59">
        <f>G161+G260+G313+G373+G381</f>
        <v>342316.7</v>
      </c>
      <c r="H160" s="59">
        <f>H161+H260+H313+H373+H381</f>
        <v>342325.2</v>
      </c>
    </row>
    <row r="161" spans="1:8" ht="47.25" x14ac:dyDescent="0.25">
      <c r="A161" s="41" t="s">
        <v>423</v>
      </c>
      <c r="B161" s="7" t="s">
        <v>424</v>
      </c>
      <c r="C161" s="7"/>
      <c r="D161" s="7"/>
      <c r="E161" s="7"/>
      <c r="F161" s="7"/>
      <c r="G161" s="59">
        <f>G162+G191</f>
        <v>315981</v>
      </c>
      <c r="H161" s="59">
        <f>H162+H191</f>
        <v>315981</v>
      </c>
    </row>
    <row r="162" spans="1:8" ht="47.25" x14ac:dyDescent="0.25">
      <c r="A162" s="23" t="s">
        <v>1028</v>
      </c>
      <c r="B162" s="24" t="s">
        <v>1006</v>
      </c>
      <c r="C162" s="7"/>
      <c r="D162" s="7"/>
      <c r="E162" s="7"/>
      <c r="F162" s="7"/>
      <c r="G162" s="59">
        <f>G163</f>
        <v>73445</v>
      </c>
      <c r="H162" s="59">
        <f>H163</f>
        <v>73445</v>
      </c>
    </row>
    <row r="163" spans="1:8" ht="15.75" x14ac:dyDescent="0.25">
      <c r="A163" s="29" t="s">
        <v>279</v>
      </c>
      <c r="B163" s="40" t="s">
        <v>1006</v>
      </c>
      <c r="C163" s="40" t="s">
        <v>280</v>
      </c>
      <c r="D163" s="40"/>
      <c r="E163" s="40"/>
      <c r="F163" s="40"/>
      <c r="G163" s="10">
        <f>G164+G173+G186</f>
        <v>73445</v>
      </c>
      <c r="H163" s="10">
        <f>H164+H173+H186</f>
        <v>73445</v>
      </c>
    </row>
    <row r="164" spans="1:8" ht="15.75" x14ac:dyDescent="0.25">
      <c r="A164" s="45" t="s">
        <v>420</v>
      </c>
      <c r="B164" s="40" t="s">
        <v>1006</v>
      </c>
      <c r="C164" s="40" t="s">
        <v>280</v>
      </c>
      <c r="D164" s="40" t="s">
        <v>134</v>
      </c>
      <c r="E164" s="40"/>
      <c r="F164" s="40"/>
      <c r="G164" s="10">
        <f>G165+G169</f>
        <v>12027</v>
      </c>
      <c r="H164" s="10">
        <f>H165+H169</f>
        <v>12027</v>
      </c>
    </row>
    <row r="165" spans="1:8" ht="63" x14ac:dyDescent="0.25">
      <c r="A165" s="25" t="s">
        <v>1063</v>
      </c>
      <c r="B165" s="20" t="s">
        <v>1062</v>
      </c>
      <c r="C165" s="40" t="s">
        <v>280</v>
      </c>
      <c r="D165" s="40" t="s">
        <v>134</v>
      </c>
      <c r="E165" s="40"/>
      <c r="F165" s="40"/>
      <c r="G165" s="10">
        <f t="shared" ref="G165:H166" si="28">G166</f>
        <v>7224.3</v>
      </c>
      <c r="H165" s="10">
        <f t="shared" si="28"/>
        <v>7224.3</v>
      </c>
    </row>
    <row r="166" spans="1:8" ht="47.25" x14ac:dyDescent="0.25">
      <c r="A166" s="25" t="s">
        <v>288</v>
      </c>
      <c r="B166" s="20" t="s">
        <v>1062</v>
      </c>
      <c r="C166" s="40" t="s">
        <v>280</v>
      </c>
      <c r="D166" s="40" t="s">
        <v>134</v>
      </c>
      <c r="E166" s="40" t="s">
        <v>289</v>
      </c>
      <c r="F166" s="40"/>
      <c r="G166" s="10">
        <f t="shared" si="28"/>
        <v>7224.3</v>
      </c>
      <c r="H166" s="10">
        <f t="shared" si="28"/>
        <v>7224.3</v>
      </c>
    </row>
    <row r="167" spans="1:8" ht="15.75" x14ac:dyDescent="0.25">
      <c r="A167" s="25" t="s">
        <v>290</v>
      </c>
      <c r="B167" s="20" t="s">
        <v>1062</v>
      </c>
      <c r="C167" s="40" t="s">
        <v>280</v>
      </c>
      <c r="D167" s="40" t="s">
        <v>134</v>
      </c>
      <c r="E167" s="40" t="s">
        <v>291</v>
      </c>
      <c r="F167" s="40"/>
      <c r="G167" s="6">
        <f>'пр.5.1.ведом.21-22'!G553</f>
        <v>7224.3</v>
      </c>
      <c r="H167" s="6">
        <f>'пр.5.1.ведом.21-22'!H553</f>
        <v>7224.3</v>
      </c>
    </row>
    <row r="168" spans="1:8" ht="31.5" x14ac:dyDescent="0.25">
      <c r="A168" s="29" t="s">
        <v>419</v>
      </c>
      <c r="B168" s="20" t="s">
        <v>1062</v>
      </c>
      <c r="C168" s="40" t="s">
        <v>280</v>
      </c>
      <c r="D168" s="40" t="s">
        <v>134</v>
      </c>
      <c r="E168" s="40" t="s">
        <v>291</v>
      </c>
      <c r="F168" s="40" t="s">
        <v>653</v>
      </c>
      <c r="G168" s="10">
        <f>G167</f>
        <v>7224.3</v>
      </c>
      <c r="H168" s="10">
        <f>H167</f>
        <v>7224.3</v>
      </c>
    </row>
    <row r="169" spans="1:8" ht="63" x14ac:dyDescent="0.25">
      <c r="A169" s="25" t="s">
        <v>1238</v>
      </c>
      <c r="B169" s="20" t="s">
        <v>1064</v>
      </c>
      <c r="C169" s="40" t="s">
        <v>280</v>
      </c>
      <c r="D169" s="40" t="s">
        <v>134</v>
      </c>
      <c r="E169" s="40"/>
      <c r="F169" s="40"/>
      <c r="G169" s="6">
        <f>G170</f>
        <v>4802.7</v>
      </c>
      <c r="H169" s="6">
        <f>H170</f>
        <v>4802.7</v>
      </c>
    </row>
    <row r="170" spans="1:8" ht="47.25" x14ac:dyDescent="0.25">
      <c r="A170" s="25" t="s">
        <v>288</v>
      </c>
      <c r="B170" s="20" t="s">
        <v>1064</v>
      </c>
      <c r="C170" s="40" t="s">
        <v>280</v>
      </c>
      <c r="D170" s="40" t="s">
        <v>134</v>
      </c>
      <c r="E170" s="40" t="s">
        <v>289</v>
      </c>
      <c r="F170" s="40"/>
      <c r="G170" s="6">
        <f>G171</f>
        <v>4802.7</v>
      </c>
      <c r="H170" s="6">
        <f>H171</f>
        <v>4802.7</v>
      </c>
    </row>
    <row r="171" spans="1:8" ht="15.75" x14ac:dyDescent="0.25">
      <c r="A171" s="25" t="s">
        <v>290</v>
      </c>
      <c r="B171" s="20" t="s">
        <v>1064</v>
      </c>
      <c r="C171" s="40" t="s">
        <v>280</v>
      </c>
      <c r="D171" s="40" t="s">
        <v>134</v>
      </c>
      <c r="E171" s="40" t="s">
        <v>291</v>
      </c>
      <c r="F171" s="40"/>
      <c r="G171" s="6">
        <f>'пр.5.1.ведом.21-22'!G556</f>
        <v>4802.7</v>
      </c>
      <c r="H171" s="6">
        <f>'пр.5.1.ведом.21-22'!H555</f>
        <v>4802.7</v>
      </c>
    </row>
    <row r="172" spans="1:8" ht="31.5" x14ac:dyDescent="0.25">
      <c r="A172" s="29" t="s">
        <v>419</v>
      </c>
      <c r="B172" s="20" t="s">
        <v>1064</v>
      </c>
      <c r="C172" s="40" t="s">
        <v>280</v>
      </c>
      <c r="D172" s="40" t="s">
        <v>134</v>
      </c>
      <c r="E172" s="40" t="s">
        <v>291</v>
      </c>
      <c r="F172" s="40" t="s">
        <v>653</v>
      </c>
      <c r="G172" s="10">
        <f>G171</f>
        <v>4802.7</v>
      </c>
      <c r="H172" s="10">
        <f>H171</f>
        <v>4802.7</v>
      </c>
    </row>
    <row r="173" spans="1:8" ht="15.75" x14ac:dyDescent="0.25">
      <c r="A173" s="29" t="s">
        <v>441</v>
      </c>
      <c r="B173" s="40" t="s">
        <v>1006</v>
      </c>
      <c r="C173" s="40" t="s">
        <v>280</v>
      </c>
      <c r="D173" s="40" t="s">
        <v>229</v>
      </c>
      <c r="E173" s="40"/>
      <c r="F173" s="40"/>
      <c r="G173" s="10">
        <f>G174+G178+G182</f>
        <v>28803</v>
      </c>
      <c r="H173" s="10">
        <f>H174+H178+H182</f>
        <v>28803</v>
      </c>
    </row>
    <row r="174" spans="1:8" ht="63" x14ac:dyDescent="0.25">
      <c r="A174" s="25" t="s">
        <v>1068</v>
      </c>
      <c r="B174" s="20" t="s">
        <v>1065</v>
      </c>
      <c r="C174" s="40" t="s">
        <v>280</v>
      </c>
      <c r="D174" s="40" t="s">
        <v>229</v>
      </c>
      <c r="E174" s="40"/>
      <c r="F174" s="40"/>
      <c r="G174" s="10">
        <f t="shared" ref="G174:H175" si="29">G175</f>
        <v>9775.4</v>
      </c>
      <c r="H174" s="10">
        <f t="shared" si="29"/>
        <v>9775.4</v>
      </c>
    </row>
    <row r="175" spans="1:8" ht="47.25" x14ac:dyDescent="0.25">
      <c r="A175" s="25" t="s">
        <v>288</v>
      </c>
      <c r="B175" s="20" t="s">
        <v>1065</v>
      </c>
      <c r="C175" s="40" t="s">
        <v>280</v>
      </c>
      <c r="D175" s="40" t="s">
        <v>229</v>
      </c>
      <c r="E175" s="40" t="s">
        <v>289</v>
      </c>
      <c r="F175" s="40"/>
      <c r="G175" s="10">
        <f t="shared" si="29"/>
        <v>9775.4</v>
      </c>
      <c r="H175" s="10">
        <f t="shared" si="29"/>
        <v>9775.4</v>
      </c>
    </row>
    <row r="176" spans="1:8" ht="15.75" x14ac:dyDescent="0.25">
      <c r="A176" s="25" t="s">
        <v>290</v>
      </c>
      <c r="B176" s="20" t="s">
        <v>1065</v>
      </c>
      <c r="C176" s="40" t="s">
        <v>280</v>
      </c>
      <c r="D176" s="40" t="s">
        <v>229</v>
      </c>
      <c r="E176" s="40" t="s">
        <v>291</v>
      </c>
      <c r="F176" s="40"/>
      <c r="G176" s="6">
        <f>'пр.5.1.ведом.21-22'!G624</f>
        <v>9775.4</v>
      </c>
      <c r="H176" s="6">
        <f>'пр.5.1.ведом.21-22'!H624</f>
        <v>9775.4</v>
      </c>
    </row>
    <row r="177" spans="1:8" ht="31.5" x14ac:dyDescent="0.25">
      <c r="A177" s="29" t="s">
        <v>419</v>
      </c>
      <c r="B177" s="20" t="s">
        <v>1065</v>
      </c>
      <c r="C177" s="40" t="s">
        <v>280</v>
      </c>
      <c r="D177" s="40" t="s">
        <v>229</v>
      </c>
      <c r="E177" s="40" t="s">
        <v>291</v>
      </c>
      <c r="F177" s="40" t="s">
        <v>653</v>
      </c>
      <c r="G177" s="10">
        <f>G176</f>
        <v>9775.4</v>
      </c>
      <c r="H177" s="10">
        <f>H176</f>
        <v>9775.4</v>
      </c>
    </row>
    <row r="178" spans="1:8" ht="63" x14ac:dyDescent="0.25">
      <c r="A178" s="25" t="s">
        <v>1069</v>
      </c>
      <c r="B178" s="20" t="s">
        <v>1066</v>
      </c>
      <c r="C178" s="40" t="s">
        <v>280</v>
      </c>
      <c r="D178" s="40" t="s">
        <v>229</v>
      </c>
      <c r="E178" s="40"/>
      <c r="F178" s="40"/>
      <c r="G178" s="6">
        <f>G179</f>
        <v>12351.7</v>
      </c>
      <c r="H178" s="6">
        <f>H179</f>
        <v>12351.7</v>
      </c>
    </row>
    <row r="179" spans="1:8" ht="47.25" x14ac:dyDescent="0.25">
      <c r="A179" s="25" t="s">
        <v>288</v>
      </c>
      <c r="B179" s="20" t="s">
        <v>1066</v>
      </c>
      <c r="C179" s="40" t="s">
        <v>280</v>
      </c>
      <c r="D179" s="40" t="s">
        <v>229</v>
      </c>
      <c r="E179" s="40" t="s">
        <v>289</v>
      </c>
      <c r="F179" s="40"/>
      <c r="G179" s="6">
        <f>G180</f>
        <v>12351.7</v>
      </c>
      <c r="H179" s="6">
        <f>H180</f>
        <v>12351.7</v>
      </c>
    </row>
    <row r="180" spans="1:8" ht="15.75" x14ac:dyDescent="0.25">
      <c r="A180" s="25" t="s">
        <v>290</v>
      </c>
      <c r="B180" s="20" t="s">
        <v>1066</v>
      </c>
      <c r="C180" s="40" t="s">
        <v>280</v>
      </c>
      <c r="D180" s="40" t="s">
        <v>229</v>
      </c>
      <c r="E180" s="40" t="s">
        <v>291</v>
      </c>
      <c r="F180" s="40"/>
      <c r="G180" s="6">
        <f>'пр.5.1.ведом.21-22'!G627</f>
        <v>12351.7</v>
      </c>
      <c r="H180" s="6">
        <f>'пр.5.1.ведом.21-22'!H627</f>
        <v>12351.7</v>
      </c>
    </row>
    <row r="181" spans="1:8" ht="31.5" x14ac:dyDescent="0.25">
      <c r="A181" s="29" t="s">
        <v>419</v>
      </c>
      <c r="B181" s="20" t="s">
        <v>1066</v>
      </c>
      <c r="C181" s="40" t="s">
        <v>280</v>
      </c>
      <c r="D181" s="40" t="s">
        <v>229</v>
      </c>
      <c r="E181" s="40" t="s">
        <v>291</v>
      </c>
      <c r="F181" s="40" t="s">
        <v>653</v>
      </c>
      <c r="G181" s="10">
        <f>G180</f>
        <v>12351.7</v>
      </c>
      <c r="H181" s="10">
        <f>H180</f>
        <v>12351.7</v>
      </c>
    </row>
    <row r="182" spans="1:8" ht="63" x14ac:dyDescent="0.25">
      <c r="A182" s="25" t="s">
        <v>1070</v>
      </c>
      <c r="B182" s="20" t="s">
        <v>1067</v>
      </c>
      <c r="C182" s="40" t="s">
        <v>280</v>
      </c>
      <c r="D182" s="40" t="s">
        <v>229</v>
      </c>
      <c r="E182" s="40"/>
      <c r="F182" s="40"/>
      <c r="G182" s="6">
        <f>G183</f>
        <v>6675.9</v>
      </c>
      <c r="H182" s="6">
        <f>H183</f>
        <v>6675.9</v>
      </c>
    </row>
    <row r="183" spans="1:8" ht="47.25" x14ac:dyDescent="0.25">
      <c r="A183" s="25" t="s">
        <v>288</v>
      </c>
      <c r="B183" s="20" t="s">
        <v>1067</v>
      </c>
      <c r="C183" s="40" t="s">
        <v>280</v>
      </c>
      <c r="D183" s="40" t="s">
        <v>229</v>
      </c>
      <c r="E183" s="40" t="s">
        <v>289</v>
      </c>
      <c r="F183" s="40"/>
      <c r="G183" s="6">
        <f>G184</f>
        <v>6675.9</v>
      </c>
      <c r="H183" s="6">
        <f>H184</f>
        <v>6675.9</v>
      </c>
    </row>
    <row r="184" spans="1:8" ht="15.75" x14ac:dyDescent="0.25">
      <c r="A184" s="25" t="s">
        <v>290</v>
      </c>
      <c r="B184" s="20" t="s">
        <v>1067</v>
      </c>
      <c r="C184" s="40" t="s">
        <v>280</v>
      </c>
      <c r="D184" s="40" t="s">
        <v>229</v>
      </c>
      <c r="E184" s="40" t="s">
        <v>291</v>
      </c>
      <c r="F184" s="40"/>
      <c r="G184" s="6">
        <f>'пр.5.1.ведом.21-22'!G630</f>
        <v>6675.9</v>
      </c>
      <c r="H184" s="6">
        <f>'пр.5.1.ведом.21-22'!H630</f>
        <v>6675.9</v>
      </c>
    </row>
    <row r="185" spans="1:8" ht="31.5" x14ac:dyDescent="0.25">
      <c r="A185" s="29" t="s">
        <v>419</v>
      </c>
      <c r="B185" s="20" t="s">
        <v>1067</v>
      </c>
      <c r="C185" s="40" t="s">
        <v>280</v>
      </c>
      <c r="D185" s="40" t="s">
        <v>229</v>
      </c>
      <c r="E185" s="40" t="s">
        <v>291</v>
      </c>
      <c r="F185" s="40" t="s">
        <v>653</v>
      </c>
      <c r="G185" s="10">
        <f>G184</f>
        <v>6675.9</v>
      </c>
      <c r="H185" s="10">
        <f>H184</f>
        <v>6675.9</v>
      </c>
    </row>
    <row r="186" spans="1:8" ht="15.75" x14ac:dyDescent="0.25">
      <c r="A186" s="29" t="s">
        <v>281</v>
      </c>
      <c r="B186" s="40" t="s">
        <v>1006</v>
      </c>
      <c r="C186" s="40" t="s">
        <v>280</v>
      </c>
      <c r="D186" s="40" t="s">
        <v>231</v>
      </c>
      <c r="E186" s="40"/>
      <c r="F186" s="40"/>
      <c r="G186" s="6">
        <f t="shared" ref="G186:H188" si="30">G187</f>
        <v>32615</v>
      </c>
      <c r="H186" s="6">
        <f t="shared" si="30"/>
        <v>32615</v>
      </c>
    </row>
    <row r="187" spans="1:8" ht="47.25" x14ac:dyDescent="0.25">
      <c r="A187" s="29" t="s">
        <v>286</v>
      </c>
      <c r="B187" s="20" t="s">
        <v>1051</v>
      </c>
      <c r="C187" s="40" t="s">
        <v>280</v>
      </c>
      <c r="D187" s="40" t="s">
        <v>231</v>
      </c>
      <c r="E187" s="7"/>
      <c r="F187" s="7"/>
      <c r="G187" s="10">
        <f t="shared" si="30"/>
        <v>32615</v>
      </c>
      <c r="H187" s="10">
        <f t="shared" si="30"/>
        <v>32615</v>
      </c>
    </row>
    <row r="188" spans="1:8" ht="47.25" x14ac:dyDescent="0.25">
      <c r="A188" s="29" t="s">
        <v>288</v>
      </c>
      <c r="B188" s="20" t="s">
        <v>1051</v>
      </c>
      <c r="C188" s="40" t="s">
        <v>280</v>
      </c>
      <c r="D188" s="40" t="s">
        <v>231</v>
      </c>
      <c r="E188" s="40" t="s">
        <v>289</v>
      </c>
      <c r="F188" s="40"/>
      <c r="G188" s="10">
        <f t="shared" si="30"/>
        <v>32615</v>
      </c>
      <c r="H188" s="10">
        <f t="shared" si="30"/>
        <v>32615</v>
      </c>
    </row>
    <row r="189" spans="1:8" ht="15.75" x14ac:dyDescent="0.25">
      <c r="A189" s="29" t="s">
        <v>290</v>
      </c>
      <c r="B189" s="20" t="s">
        <v>1051</v>
      </c>
      <c r="C189" s="40" t="s">
        <v>280</v>
      </c>
      <c r="D189" s="40" t="s">
        <v>231</v>
      </c>
      <c r="E189" s="40" t="s">
        <v>291</v>
      </c>
      <c r="F189" s="40"/>
      <c r="G189" s="6">
        <f>'пр.5.1.ведом.21-22'!G708</f>
        <v>32615</v>
      </c>
      <c r="H189" s="6">
        <f>'пр.5.1.ведом.21-22'!H708</f>
        <v>32615</v>
      </c>
    </row>
    <row r="190" spans="1:8" ht="31.5" x14ac:dyDescent="0.25">
      <c r="A190" s="29" t="s">
        <v>419</v>
      </c>
      <c r="B190" s="20" t="s">
        <v>1051</v>
      </c>
      <c r="C190" s="40" t="s">
        <v>280</v>
      </c>
      <c r="D190" s="40" t="s">
        <v>231</v>
      </c>
      <c r="E190" s="40" t="s">
        <v>291</v>
      </c>
      <c r="F190" s="40" t="s">
        <v>653</v>
      </c>
      <c r="G190" s="10">
        <f>G189</f>
        <v>32615</v>
      </c>
      <c r="H190" s="10">
        <f>H189</f>
        <v>32615</v>
      </c>
    </row>
    <row r="191" spans="1:8" ht="47.25" x14ac:dyDescent="0.25">
      <c r="A191" s="23" t="s">
        <v>971</v>
      </c>
      <c r="B191" s="24" t="s">
        <v>1021</v>
      </c>
      <c r="C191" s="7"/>
      <c r="D191" s="7"/>
      <c r="E191" s="7"/>
      <c r="F191" s="7"/>
      <c r="G191" s="4">
        <f>G192</f>
        <v>242536.00000000003</v>
      </c>
      <c r="H191" s="4">
        <f>H192</f>
        <v>242536.00000000003</v>
      </c>
    </row>
    <row r="192" spans="1:8" ht="15.75" x14ac:dyDescent="0.25">
      <c r="A192" s="29" t="s">
        <v>279</v>
      </c>
      <c r="B192" s="40" t="s">
        <v>1021</v>
      </c>
      <c r="C192" s="40" t="s">
        <v>280</v>
      </c>
      <c r="D192" s="40"/>
      <c r="E192" s="40"/>
      <c r="F192" s="40"/>
      <c r="G192" s="10">
        <f>G193+G214+G243</f>
        <v>242536.00000000003</v>
      </c>
      <c r="H192" s="10">
        <f>H193+H214+H243</f>
        <v>242536.00000000003</v>
      </c>
    </row>
    <row r="193" spans="1:8" ht="15.75" x14ac:dyDescent="0.25">
      <c r="A193" s="45" t="s">
        <v>420</v>
      </c>
      <c r="B193" s="40" t="s">
        <v>1021</v>
      </c>
      <c r="C193" s="40" t="s">
        <v>280</v>
      </c>
      <c r="D193" s="40" t="s">
        <v>134</v>
      </c>
      <c r="E193" s="40"/>
      <c r="F193" s="40"/>
      <c r="G193" s="10">
        <f>G198+G202+G206+G210+G194</f>
        <v>85840.5</v>
      </c>
      <c r="H193" s="335">
        <f>H198+H202+H206+H210+H194</f>
        <v>85840.5</v>
      </c>
    </row>
    <row r="194" spans="1:8" s="331" customFormat="1" ht="110.25" x14ac:dyDescent="0.25">
      <c r="A194" s="31" t="s">
        <v>309</v>
      </c>
      <c r="B194" s="338" t="s">
        <v>1519</v>
      </c>
      <c r="C194" s="346" t="s">
        <v>280</v>
      </c>
      <c r="D194" s="346" t="s">
        <v>134</v>
      </c>
      <c r="E194" s="346"/>
      <c r="F194" s="346"/>
      <c r="G194" s="335">
        <f>G195</f>
        <v>2916.1</v>
      </c>
      <c r="H194" s="335">
        <f>H195</f>
        <v>2916.1</v>
      </c>
    </row>
    <row r="195" spans="1:8" s="331" customFormat="1" ht="47.25" x14ac:dyDescent="0.25">
      <c r="A195" s="342" t="s">
        <v>288</v>
      </c>
      <c r="B195" s="338" t="s">
        <v>1519</v>
      </c>
      <c r="C195" s="346" t="s">
        <v>280</v>
      </c>
      <c r="D195" s="346" t="s">
        <v>134</v>
      </c>
      <c r="E195" s="346" t="s">
        <v>289</v>
      </c>
      <c r="F195" s="346"/>
      <c r="G195" s="335">
        <f>G196</f>
        <v>2916.1</v>
      </c>
      <c r="H195" s="335">
        <f>H196</f>
        <v>2916.1</v>
      </c>
    </row>
    <row r="196" spans="1:8" s="331" customFormat="1" ht="15.75" x14ac:dyDescent="0.25">
      <c r="A196" s="342" t="s">
        <v>290</v>
      </c>
      <c r="B196" s="338" t="s">
        <v>1519</v>
      </c>
      <c r="C196" s="346" t="s">
        <v>280</v>
      </c>
      <c r="D196" s="346" t="s">
        <v>134</v>
      </c>
      <c r="E196" s="346" t="s">
        <v>291</v>
      </c>
      <c r="F196" s="346"/>
      <c r="G196" s="335">
        <f>'пр.5.1.ведом.21-22'!G560</f>
        <v>2916.1</v>
      </c>
      <c r="H196" s="335">
        <f>'пр.5.1.ведом.21-22'!H560</f>
        <v>2916.1</v>
      </c>
    </row>
    <row r="197" spans="1:8" s="331" customFormat="1" ht="31.5" x14ac:dyDescent="0.25">
      <c r="A197" s="345" t="s">
        <v>419</v>
      </c>
      <c r="B197" s="338" t="s">
        <v>1519</v>
      </c>
      <c r="C197" s="346" t="s">
        <v>280</v>
      </c>
      <c r="D197" s="346" t="s">
        <v>134</v>
      </c>
      <c r="E197" s="346" t="s">
        <v>291</v>
      </c>
      <c r="F197" s="346" t="s">
        <v>653</v>
      </c>
      <c r="G197" s="335">
        <f>G194</f>
        <v>2916.1</v>
      </c>
      <c r="H197" s="335">
        <f>H194</f>
        <v>2916.1</v>
      </c>
    </row>
    <row r="198" spans="1:8" ht="78.75" x14ac:dyDescent="0.25">
      <c r="A198" s="31" t="s">
        <v>305</v>
      </c>
      <c r="B198" s="20" t="s">
        <v>1020</v>
      </c>
      <c r="C198" s="40" t="s">
        <v>280</v>
      </c>
      <c r="D198" s="40" t="s">
        <v>134</v>
      </c>
      <c r="E198" s="40"/>
      <c r="F198" s="40"/>
      <c r="G198" s="6">
        <f>G199</f>
        <v>559.70000000000005</v>
      </c>
      <c r="H198" s="6">
        <f>H199</f>
        <v>559.70000000000005</v>
      </c>
    </row>
    <row r="199" spans="1:8" ht="47.25" x14ac:dyDescent="0.25">
      <c r="A199" s="25" t="s">
        <v>288</v>
      </c>
      <c r="B199" s="20" t="s">
        <v>1020</v>
      </c>
      <c r="C199" s="40" t="s">
        <v>280</v>
      </c>
      <c r="D199" s="40" t="s">
        <v>134</v>
      </c>
      <c r="E199" s="40" t="s">
        <v>289</v>
      </c>
      <c r="F199" s="40"/>
      <c r="G199" s="6">
        <f>G200</f>
        <v>559.70000000000005</v>
      </c>
      <c r="H199" s="6">
        <f>H200</f>
        <v>559.70000000000005</v>
      </c>
    </row>
    <row r="200" spans="1:8" ht="15.75" x14ac:dyDescent="0.25">
      <c r="A200" s="25" t="s">
        <v>290</v>
      </c>
      <c r="B200" s="20" t="s">
        <v>1020</v>
      </c>
      <c r="C200" s="40" t="s">
        <v>280</v>
      </c>
      <c r="D200" s="40" t="s">
        <v>134</v>
      </c>
      <c r="E200" s="40" t="s">
        <v>291</v>
      </c>
      <c r="F200" s="40"/>
      <c r="G200" s="6">
        <f>'пр.5.1.ведом.21-22'!G563</f>
        <v>559.70000000000005</v>
      </c>
      <c r="H200" s="6">
        <f>'пр.5.1.ведом.21-22'!H563</f>
        <v>559.70000000000005</v>
      </c>
    </row>
    <row r="201" spans="1:8" ht="31.5" x14ac:dyDescent="0.25">
      <c r="A201" s="29" t="s">
        <v>419</v>
      </c>
      <c r="B201" s="20" t="s">
        <v>1020</v>
      </c>
      <c r="C201" s="40" t="s">
        <v>280</v>
      </c>
      <c r="D201" s="40" t="s">
        <v>134</v>
      </c>
      <c r="E201" s="40" t="s">
        <v>291</v>
      </c>
      <c r="F201" s="40" t="s">
        <v>653</v>
      </c>
      <c r="G201" s="10">
        <f>G200</f>
        <v>559.70000000000005</v>
      </c>
      <c r="H201" s="10">
        <f>H200</f>
        <v>559.70000000000005</v>
      </c>
    </row>
    <row r="202" spans="1:8" ht="94.5" x14ac:dyDescent="0.25">
      <c r="A202" s="31" t="s">
        <v>436</v>
      </c>
      <c r="B202" s="20" t="s">
        <v>1023</v>
      </c>
      <c r="C202" s="40" t="s">
        <v>280</v>
      </c>
      <c r="D202" s="40" t="s">
        <v>134</v>
      </c>
      <c r="E202" s="40"/>
      <c r="F202" s="40"/>
      <c r="G202" s="6">
        <f>G203</f>
        <v>1629.3</v>
      </c>
      <c r="H202" s="6">
        <f>H203</f>
        <v>1629.3</v>
      </c>
    </row>
    <row r="203" spans="1:8" ht="47.25" x14ac:dyDescent="0.25">
      <c r="A203" s="25" t="s">
        <v>288</v>
      </c>
      <c r="B203" s="20" t="s">
        <v>1023</v>
      </c>
      <c r="C203" s="40" t="s">
        <v>280</v>
      </c>
      <c r="D203" s="40" t="s">
        <v>134</v>
      </c>
      <c r="E203" s="40" t="s">
        <v>289</v>
      </c>
      <c r="F203" s="40"/>
      <c r="G203" s="6">
        <f>G204</f>
        <v>1629.3</v>
      </c>
      <c r="H203" s="6">
        <f>H204</f>
        <v>1629.3</v>
      </c>
    </row>
    <row r="204" spans="1:8" ht="15.75" x14ac:dyDescent="0.25">
      <c r="A204" s="25" t="s">
        <v>290</v>
      </c>
      <c r="B204" s="20" t="s">
        <v>1023</v>
      </c>
      <c r="C204" s="40" t="s">
        <v>280</v>
      </c>
      <c r="D204" s="40" t="s">
        <v>134</v>
      </c>
      <c r="E204" s="40" t="s">
        <v>291</v>
      </c>
      <c r="F204" s="40"/>
      <c r="G204" s="6">
        <f>'пр.5.1.ведом.21-22'!G566</f>
        <v>1629.3</v>
      </c>
      <c r="H204" s="6">
        <f>'пр.5.1.ведом.21-22'!H566</f>
        <v>1629.3</v>
      </c>
    </row>
    <row r="205" spans="1:8" ht="31.5" x14ac:dyDescent="0.25">
      <c r="A205" s="29" t="s">
        <v>419</v>
      </c>
      <c r="B205" s="20" t="s">
        <v>1023</v>
      </c>
      <c r="C205" s="40" t="s">
        <v>280</v>
      </c>
      <c r="D205" s="40" t="s">
        <v>134</v>
      </c>
      <c r="E205" s="40" t="s">
        <v>291</v>
      </c>
      <c r="F205" s="40" t="s">
        <v>653</v>
      </c>
      <c r="G205" s="10">
        <f>G204</f>
        <v>1629.3</v>
      </c>
      <c r="H205" s="10">
        <f>H204</f>
        <v>1629.3</v>
      </c>
    </row>
    <row r="206" spans="1:8" ht="91.5" customHeight="1" x14ac:dyDescent="0.25">
      <c r="A206" s="31" t="s">
        <v>437</v>
      </c>
      <c r="B206" s="20" t="s">
        <v>1022</v>
      </c>
      <c r="C206" s="40" t="s">
        <v>280</v>
      </c>
      <c r="D206" s="40" t="s">
        <v>134</v>
      </c>
      <c r="E206" s="40"/>
      <c r="F206" s="40"/>
      <c r="G206" s="6">
        <f>G207</f>
        <v>80735.399999999994</v>
      </c>
      <c r="H206" s="6">
        <f>H207</f>
        <v>80735.399999999994</v>
      </c>
    </row>
    <row r="207" spans="1:8" ht="47.25" x14ac:dyDescent="0.25">
      <c r="A207" s="25" t="s">
        <v>288</v>
      </c>
      <c r="B207" s="20" t="s">
        <v>1022</v>
      </c>
      <c r="C207" s="40" t="s">
        <v>280</v>
      </c>
      <c r="D207" s="40" t="s">
        <v>134</v>
      </c>
      <c r="E207" s="40" t="s">
        <v>289</v>
      </c>
      <c r="F207" s="40"/>
      <c r="G207" s="6">
        <f>G208</f>
        <v>80735.399999999994</v>
      </c>
      <c r="H207" s="6">
        <f>H208</f>
        <v>80735.399999999994</v>
      </c>
    </row>
    <row r="208" spans="1:8" ht="15.75" x14ac:dyDescent="0.25">
      <c r="A208" s="25" t="s">
        <v>290</v>
      </c>
      <c r="B208" s="20" t="s">
        <v>1022</v>
      </c>
      <c r="C208" s="40" t="s">
        <v>280</v>
      </c>
      <c r="D208" s="40" t="s">
        <v>134</v>
      </c>
      <c r="E208" s="40" t="s">
        <v>291</v>
      </c>
      <c r="F208" s="40"/>
      <c r="G208" s="6">
        <f>'пр.5.1.ведом.21-22'!G569</f>
        <v>80735.399999999994</v>
      </c>
      <c r="H208" s="6">
        <f>'пр.5.1.ведом.21-22'!H569</f>
        <v>80735.399999999994</v>
      </c>
    </row>
    <row r="209" spans="1:8" ht="31.5" x14ac:dyDescent="0.25">
      <c r="A209" s="29" t="s">
        <v>419</v>
      </c>
      <c r="B209" s="20" t="s">
        <v>1022</v>
      </c>
      <c r="C209" s="40" t="s">
        <v>280</v>
      </c>
      <c r="D209" s="40" t="s">
        <v>134</v>
      </c>
      <c r="E209" s="40" t="s">
        <v>291</v>
      </c>
      <c r="F209" s="40" t="s">
        <v>653</v>
      </c>
      <c r="G209" s="10">
        <f>G208</f>
        <v>80735.399999999994</v>
      </c>
      <c r="H209" s="10">
        <f>H208</f>
        <v>80735.399999999994</v>
      </c>
    </row>
    <row r="210" spans="1:8" ht="110.25" hidden="1" x14ac:dyDescent="0.25">
      <c r="A210" s="31" t="s">
        <v>309</v>
      </c>
      <c r="B210" s="20" t="s">
        <v>1024</v>
      </c>
      <c r="C210" s="40" t="s">
        <v>280</v>
      </c>
      <c r="D210" s="40" t="s">
        <v>134</v>
      </c>
      <c r="E210" s="40"/>
      <c r="F210" s="40"/>
      <c r="G210" s="6">
        <f>G211</f>
        <v>0</v>
      </c>
      <c r="H210" s="6">
        <f>H211</f>
        <v>0</v>
      </c>
    </row>
    <row r="211" spans="1:8" ht="47.25" hidden="1" x14ac:dyDescent="0.25">
      <c r="A211" s="25" t="s">
        <v>288</v>
      </c>
      <c r="B211" s="20" t="s">
        <v>1024</v>
      </c>
      <c r="C211" s="40" t="s">
        <v>280</v>
      </c>
      <c r="D211" s="40" t="s">
        <v>134</v>
      </c>
      <c r="E211" s="40" t="s">
        <v>289</v>
      </c>
      <c r="F211" s="40"/>
      <c r="G211" s="6">
        <f>G212</f>
        <v>0</v>
      </c>
      <c r="H211" s="6">
        <f>H212</f>
        <v>0</v>
      </c>
    </row>
    <row r="212" spans="1:8" ht="15.75" hidden="1" x14ac:dyDescent="0.25">
      <c r="A212" s="25" t="s">
        <v>290</v>
      </c>
      <c r="B212" s="20" t="s">
        <v>1024</v>
      </c>
      <c r="C212" s="40" t="s">
        <v>280</v>
      </c>
      <c r="D212" s="40" t="s">
        <v>134</v>
      </c>
      <c r="E212" s="40" t="s">
        <v>291</v>
      </c>
      <c r="F212" s="40"/>
      <c r="G212" s="6">
        <f>'пр.5.1.ведом.21-22'!G572</f>
        <v>0</v>
      </c>
      <c r="H212" s="6">
        <f>'пр.5.1.ведом.21-22'!H572</f>
        <v>0</v>
      </c>
    </row>
    <row r="213" spans="1:8" ht="31.5" hidden="1" x14ac:dyDescent="0.25">
      <c r="A213" s="29" t="s">
        <v>419</v>
      </c>
      <c r="B213" s="20" t="s">
        <v>1024</v>
      </c>
      <c r="C213" s="40" t="s">
        <v>280</v>
      </c>
      <c r="D213" s="40" t="s">
        <v>134</v>
      </c>
      <c r="E213" s="40" t="s">
        <v>291</v>
      </c>
      <c r="F213" s="40" t="s">
        <v>653</v>
      </c>
      <c r="G213" s="10">
        <f>G212</f>
        <v>0</v>
      </c>
      <c r="H213" s="10">
        <f>H212</f>
        <v>0</v>
      </c>
    </row>
    <row r="214" spans="1:8" ht="15.75" x14ac:dyDescent="0.25">
      <c r="A214" s="29" t="s">
        <v>441</v>
      </c>
      <c r="B214" s="40" t="s">
        <v>1021</v>
      </c>
      <c r="C214" s="40" t="s">
        <v>280</v>
      </c>
      <c r="D214" s="40" t="s">
        <v>229</v>
      </c>
      <c r="E214" s="40"/>
      <c r="F214" s="40"/>
      <c r="G214" s="10">
        <f>G223+G227+G231+G235+G239+G219+G215</f>
        <v>155073.30000000002</v>
      </c>
      <c r="H214" s="335">
        <f>H223+H227+H231+H235+H239+H219+H215</f>
        <v>155073.30000000002</v>
      </c>
    </row>
    <row r="215" spans="1:8" s="331" customFormat="1" ht="78.75" x14ac:dyDescent="0.25">
      <c r="A215" s="342" t="s">
        <v>1527</v>
      </c>
      <c r="B215" s="338" t="s">
        <v>1528</v>
      </c>
      <c r="C215" s="346" t="s">
        <v>280</v>
      </c>
      <c r="D215" s="346" t="s">
        <v>229</v>
      </c>
      <c r="E215" s="346"/>
      <c r="F215" s="346"/>
      <c r="G215" s="335">
        <f>G216</f>
        <v>2636.6</v>
      </c>
      <c r="H215" s="335">
        <f>H216</f>
        <v>2636.6</v>
      </c>
    </row>
    <row r="216" spans="1:8" s="331" customFormat="1" ht="47.25" x14ac:dyDescent="0.25">
      <c r="A216" s="342" t="s">
        <v>288</v>
      </c>
      <c r="B216" s="338" t="s">
        <v>1528</v>
      </c>
      <c r="C216" s="346" t="s">
        <v>280</v>
      </c>
      <c r="D216" s="346" t="s">
        <v>229</v>
      </c>
      <c r="E216" s="346" t="s">
        <v>289</v>
      </c>
      <c r="F216" s="346"/>
      <c r="G216" s="335">
        <f>G217</f>
        <v>2636.6</v>
      </c>
      <c r="H216" s="335">
        <f>H217</f>
        <v>2636.6</v>
      </c>
    </row>
    <row r="217" spans="1:8" s="331" customFormat="1" ht="15.75" x14ac:dyDescent="0.25">
      <c r="A217" s="342" t="s">
        <v>290</v>
      </c>
      <c r="B217" s="338" t="s">
        <v>1528</v>
      </c>
      <c r="C217" s="346" t="s">
        <v>280</v>
      </c>
      <c r="D217" s="346" t="s">
        <v>229</v>
      </c>
      <c r="E217" s="346" t="s">
        <v>291</v>
      </c>
      <c r="F217" s="346"/>
      <c r="G217" s="335">
        <f>'пр.5.1.ведом.21-22'!G634</f>
        <v>2636.6</v>
      </c>
      <c r="H217" s="335">
        <f>'пр.5.1.ведом.21-22'!H634</f>
        <v>2636.6</v>
      </c>
    </row>
    <row r="218" spans="1:8" s="331" customFormat="1" ht="31.5" x14ac:dyDescent="0.25">
      <c r="A218" s="345" t="s">
        <v>419</v>
      </c>
      <c r="B218" s="338" t="s">
        <v>1528</v>
      </c>
      <c r="C218" s="346" t="s">
        <v>280</v>
      </c>
      <c r="D218" s="346" t="s">
        <v>229</v>
      </c>
      <c r="E218" s="346" t="s">
        <v>291</v>
      </c>
      <c r="F218" s="346" t="s">
        <v>653</v>
      </c>
      <c r="G218" s="335">
        <f>G215</f>
        <v>2636.6</v>
      </c>
      <c r="H218" s="335">
        <f>H215</f>
        <v>2636.6</v>
      </c>
    </row>
    <row r="219" spans="1:8" s="331" customFormat="1" ht="110.25" x14ac:dyDescent="0.25">
      <c r="A219" s="31" t="s">
        <v>480</v>
      </c>
      <c r="B219" s="338" t="s">
        <v>1519</v>
      </c>
      <c r="C219" s="346" t="s">
        <v>280</v>
      </c>
      <c r="D219" s="346" t="s">
        <v>229</v>
      </c>
      <c r="E219" s="346"/>
      <c r="F219" s="346"/>
      <c r="G219" s="335">
        <f>G220</f>
        <v>4841</v>
      </c>
      <c r="H219" s="335">
        <f>H220</f>
        <v>4841</v>
      </c>
    </row>
    <row r="220" spans="1:8" s="331" customFormat="1" ht="47.25" x14ac:dyDescent="0.25">
      <c r="A220" s="342" t="s">
        <v>288</v>
      </c>
      <c r="B220" s="338" t="s">
        <v>1519</v>
      </c>
      <c r="C220" s="346" t="s">
        <v>280</v>
      </c>
      <c r="D220" s="346" t="s">
        <v>229</v>
      </c>
      <c r="E220" s="346" t="s">
        <v>289</v>
      </c>
      <c r="F220" s="346"/>
      <c r="G220" s="335">
        <f>G221</f>
        <v>4841</v>
      </c>
      <c r="H220" s="335">
        <f>H221</f>
        <v>4841</v>
      </c>
    </row>
    <row r="221" spans="1:8" s="331" customFormat="1" ht="15.75" x14ac:dyDescent="0.25">
      <c r="A221" s="342" t="s">
        <v>290</v>
      </c>
      <c r="B221" s="338" t="s">
        <v>1519</v>
      </c>
      <c r="C221" s="346" t="s">
        <v>280</v>
      </c>
      <c r="D221" s="346" t="s">
        <v>229</v>
      </c>
      <c r="E221" s="346" t="s">
        <v>291</v>
      </c>
      <c r="F221" s="346"/>
      <c r="G221" s="335">
        <f>'пр.5.1.ведом.21-22'!G637</f>
        <v>4841</v>
      </c>
      <c r="H221" s="335">
        <f>'пр.5.1.ведом.21-22'!H637</f>
        <v>4841</v>
      </c>
    </row>
    <row r="222" spans="1:8" s="331" customFormat="1" ht="31.5" x14ac:dyDescent="0.25">
      <c r="A222" s="345" t="s">
        <v>419</v>
      </c>
      <c r="B222" s="338" t="s">
        <v>1519</v>
      </c>
      <c r="C222" s="346" t="s">
        <v>280</v>
      </c>
      <c r="D222" s="346" t="s">
        <v>229</v>
      </c>
      <c r="E222" s="346" t="s">
        <v>291</v>
      </c>
      <c r="F222" s="346" t="s">
        <v>653</v>
      </c>
      <c r="G222" s="335">
        <f>G219</f>
        <v>4841</v>
      </c>
      <c r="H222" s="335">
        <f>H219</f>
        <v>4841</v>
      </c>
    </row>
    <row r="223" spans="1:8" ht="94.5" x14ac:dyDescent="0.25">
      <c r="A223" s="31" t="s">
        <v>476</v>
      </c>
      <c r="B223" s="20" t="s">
        <v>1049</v>
      </c>
      <c r="C223" s="40" t="s">
        <v>280</v>
      </c>
      <c r="D223" s="40" t="s">
        <v>229</v>
      </c>
      <c r="E223" s="40"/>
      <c r="F223" s="40"/>
      <c r="G223" s="6">
        <f>G224</f>
        <v>143160</v>
      </c>
      <c r="H223" s="6">
        <f>H224</f>
        <v>143160</v>
      </c>
    </row>
    <row r="224" spans="1:8" ht="47.25" x14ac:dyDescent="0.25">
      <c r="A224" s="25" t="s">
        <v>288</v>
      </c>
      <c r="B224" s="20" t="s">
        <v>1049</v>
      </c>
      <c r="C224" s="40" t="s">
        <v>280</v>
      </c>
      <c r="D224" s="40" t="s">
        <v>229</v>
      </c>
      <c r="E224" s="40" t="s">
        <v>289</v>
      </c>
      <c r="F224" s="40"/>
      <c r="G224" s="6">
        <f>G225</f>
        <v>143160</v>
      </c>
      <c r="H224" s="6">
        <f>H225</f>
        <v>143160</v>
      </c>
    </row>
    <row r="225" spans="1:8" ht="15.75" x14ac:dyDescent="0.25">
      <c r="A225" s="25" t="s">
        <v>290</v>
      </c>
      <c r="B225" s="20" t="s">
        <v>1049</v>
      </c>
      <c r="C225" s="40" t="s">
        <v>280</v>
      </c>
      <c r="D225" s="40" t="s">
        <v>229</v>
      </c>
      <c r="E225" s="40" t="s">
        <v>291</v>
      </c>
      <c r="F225" s="40"/>
      <c r="G225" s="6">
        <f>'пр.5.1.ведом.21-22'!G640</f>
        <v>143160</v>
      </c>
      <c r="H225" s="6">
        <f>'пр.5.1.ведом.21-22'!H640</f>
        <v>143160</v>
      </c>
    </row>
    <row r="226" spans="1:8" ht="31.5" x14ac:dyDescent="0.25">
      <c r="A226" s="29" t="s">
        <v>419</v>
      </c>
      <c r="B226" s="20" t="s">
        <v>1049</v>
      </c>
      <c r="C226" s="40" t="s">
        <v>280</v>
      </c>
      <c r="D226" s="40" t="s">
        <v>229</v>
      </c>
      <c r="E226" s="40" t="s">
        <v>291</v>
      </c>
      <c r="F226" s="40" t="s">
        <v>653</v>
      </c>
      <c r="G226" s="10">
        <f>G225</f>
        <v>143160</v>
      </c>
      <c r="H226" s="10">
        <f>H225</f>
        <v>143160</v>
      </c>
    </row>
    <row r="227" spans="1:8" ht="78.75" x14ac:dyDescent="0.25">
      <c r="A227" s="31" t="s">
        <v>305</v>
      </c>
      <c r="B227" s="20" t="s">
        <v>1020</v>
      </c>
      <c r="C227" s="40" t="s">
        <v>280</v>
      </c>
      <c r="D227" s="40" t="s">
        <v>229</v>
      </c>
      <c r="E227" s="40"/>
      <c r="F227" s="40"/>
      <c r="G227" s="6">
        <f>G228</f>
        <v>1245.5999999999999</v>
      </c>
      <c r="H227" s="6">
        <f>H228</f>
        <v>1245.5999999999999</v>
      </c>
    </row>
    <row r="228" spans="1:8" ht="47.25" x14ac:dyDescent="0.25">
      <c r="A228" s="25" t="s">
        <v>288</v>
      </c>
      <c r="B228" s="20" t="s">
        <v>1020</v>
      </c>
      <c r="C228" s="40" t="s">
        <v>280</v>
      </c>
      <c r="D228" s="40" t="s">
        <v>229</v>
      </c>
      <c r="E228" s="40" t="s">
        <v>289</v>
      </c>
      <c r="F228" s="40"/>
      <c r="G228" s="6">
        <f>G229</f>
        <v>1245.5999999999999</v>
      </c>
      <c r="H228" s="6">
        <f>H229</f>
        <v>1245.5999999999999</v>
      </c>
    </row>
    <row r="229" spans="1:8" ht="15.75" x14ac:dyDescent="0.25">
      <c r="A229" s="25" t="s">
        <v>290</v>
      </c>
      <c r="B229" s="20" t="s">
        <v>1020</v>
      </c>
      <c r="C229" s="40" t="s">
        <v>280</v>
      </c>
      <c r="D229" s="40" t="s">
        <v>229</v>
      </c>
      <c r="E229" s="40" t="s">
        <v>291</v>
      </c>
      <c r="F229" s="40"/>
      <c r="G229" s="6">
        <f>'пр.5.1.ведом.21-22'!G643</f>
        <v>1245.5999999999999</v>
      </c>
      <c r="H229" s="6">
        <f>'пр.5.1.ведом.21-22'!H643</f>
        <v>1245.5999999999999</v>
      </c>
    </row>
    <row r="230" spans="1:8" ht="31.5" x14ac:dyDescent="0.25">
      <c r="A230" s="29" t="s">
        <v>419</v>
      </c>
      <c r="B230" s="20" t="s">
        <v>1020</v>
      </c>
      <c r="C230" s="40" t="s">
        <v>280</v>
      </c>
      <c r="D230" s="40" t="s">
        <v>229</v>
      </c>
      <c r="E230" s="40" t="s">
        <v>291</v>
      </c>
      <c r="F230" s="40" t="s">
        <v>653</v>
      </c>
      <c r="G230" s="10">
        <f>G229</f>
        <v>1245.5999999999999</v>
      </c>
      <c r="H230" s="10">
        <f>H229</f>
        <v>1245.5999999999999</v>
      </c>
    </row>
    <row r="231" spans="1:8" ht="84.2" customHeight="1" x14ac:dyDescent="0.25">
      <c r="A231" s="31" t="s">
        <v>307</v>
      </c>
      <c r="B231" s="20" t="s">
        <v>1023</v>
      </c>
      <c r="C231" s="40" t="s">
        <v>280</v>
      </c>
      <c r="D231" s="40" t="s">
        <v>229</v>
      </c>
      <c r="E231" s="40"/>
      <c r="F231" s="40"/>
      <c r="G231" s="6">
        <f>G232</f>
        <v>2266.6999999999998</v>
      </c>
      <c r="H231" s="6">
        <f>H232</f>
        <v>2266.6999999999998</v>
      </c>
    </row>
    <row r="232" spans="1:8" ht="47.25" x14ac:dyDescent="0.25">
      <c r="A232" s="25" t="s">
        <v>288</v>
      </c>
      <c r="B232" s="20" t="s">
        <v>1023</v>
      </c>
      <c r="C232" s="40" t="s">
        <v>280</v>
      </c>
      <c r="D232" s="40" t="s">
        <v>229</v>
      </c>
      <c r="E232" s="40" t="s">
        <v>289</v>
      </c>
      <c r="F232" s="40"/>
      <c r="G232" s="6">
        <f>G233</f>
        <v>2266.6999999999998</v>
      </c>
      <c r="H232" s="6">
        <f>H233</f>
        <v>2266.6999999999998</v>
      </c>
    </row>
    <row r="233" spans="1:8" ht="15.75" x14ac:dyDescent="0.25">
      <c r="A233" s="25" t="s">
        <v>290</v>
      </c>
      <c r="B233" s="20" t="s">
        <v>1023</v>
      </c>
      <c r="C233" s="40" t="s">
        <v>280</v>
      </c>
      <c r="D233" s="40" t="s">
        <v>229</v>
      </c>
      <c r="E233" s="40" t="s">
        <v>291</v>
      </c>
      <c r="F233" s="40"/>
      <c r="G233" s="6">
        <f>'пр.5.1.ведом.21-22'!G646</f>
        <v>2266.6999999999998</v>
      </c>
      <c r="H233" s="6">
        <f>'пр.5.1.ведом.21-22'!H646</f>
        <v>2266.6999999999998</v>
      </c>
    </row>
    <row r="234" spans="1:8" ht="31.5" x14ac:dyDescent="0.25">
      <c r="A234" s="29" t="s">
        <v>419</v>
      </c>
      <c r="B234" s="20" t="s">
        <v>1023</v>
      </c>
      <c r="C234" s="40" t="s">
        <v>280</v>
      </c>
      <c r="D234" s="40" t="s">
        <v>229</v>
      </c>
      <c r="E234" s="40" t="s">
        <v>291</v>
      </c>
      <c r="F234" s="40" t="s">
        <v>653</v>
      </c>
      <c r="G234" s="10">
        <f>G233</f>
        <v>2266.6999999999998</v>
      </c>
      <c r="H234" s="10">
        <f>H233</f>
        <v>2266.6999999999998</v>
      </c>
    </row>
    <row r="235" spans="1:8" ht="47.25" x14ac:dyDescent="0.25">
      <c r="A235" s="31" t="s">
        <v>478</v>
      </c>
      <c r="B235" s="20" t="s">
        <v>1050</v>
      </c>
      <c r="C235" s="40" t="s">
        <v>280</v>
      </c>
      <c r="D235" s="40" t="s">
        <v>229</v>
      </c>
      <c r="E235" s="40"/>
      <c r="F235" s="40"/>
      <c r="G235" s="6">
        <f>G236</f>
        <v>923.4</v>
      </c>
      <c r="H235" s="6">
        <f>H236</f>
        <v>923.4</v>
      </c>
    </row>
    <row r="236" spans="1:8" ht="47.25" x14ac:dyDescent="0.25">
      <c r="A236" s="25" t="s">
        <v>288</v>
      </c>
      <c r="B236" s="20" t="s">
        <v>1050</v>
      </c>
      <c r="C236" s="40" t="s">
        <v>280</v>
      </c>
      <c r="D236" s="40" t="s">
        <v>229</v>
      </c>
      <c r="E236" s="40" t="s">
        <v>289</v>
      </c>
      <c r="F236" s="40"/>
      <c r="G236" s="6">
        <f>G237</f>
        <v>923.4</v>
      </c>
      <c r="H236" s="6">
        <f>H237</f>
        <v>923.4</v>
      </c>
    </row>
    <row r="237" spans="1:8" ht="15.75" x14ac:dyDescent="0.25">
      <c r="A237" s="25" t="s">
        <v>290</v>
      </c>
      <c r="B237" s="20" t="s">
        <v>1050</v>
      </c>
      <c r="C237" s="40" t="s">
        <v>280</v>
      </c>
      <c r="D237" s="40" t="s">
        <v>229</v>
      </c>
      <c r="E237" s="40" t="s">
        <v>291</v>
      </c>
      <c r="F237" s="40"/>
      <c r="G237" s="6">
        <f>'пр.5.1.ведом.21-22'!G649</f>
        <v>923.4</v>
      </c>
      <c r="H237" s="6">
        <f>'пр.5.1.ведом.21-22'!H649</f>
        <v>923.4</v>
      </c>
    </row>
    <row r="238" spans="1:8" ht="31.5" x14ac:dyDescent="0.25">
      <c r="A238" s="29" t="s">
        <v>419</v>
      </c>
      <c r="B238" s="20" t="s">
        <v>1050</v>
      </c>
      <c r="C238" s="40" t="s">
        <v>280</v>
      </c>
      <c r="D238" s="40" t="s">
        <v>229</v>
      </c>
      <c r="E238" s="40" t="s">
        <v>291</v>
      </c>
      <c r="F238" s="40" t="s">
        <v>653</v>
      </c>
      <c r="G238" s="10">
        <f>G237</f>
        <v>923.4</v>
      </c>
      <c r="H238" s="10">
        <f>H237</f>
        <v>923.4</v>
      </c>
    </row>
    <row r="239" spans="1:8" ht="110.25" hidden="1" x14ac:dyDescent="0.25">
      <c r="A239" s="31" t="s">
        <v>480</v>
      </c>
      <c r="B239" s="20" t="s">
        <v>1024</v>
      </c>
      <c r="C239" s="40" t="s">
        <v>280</v>
      </c>
      <c r="D239" s="40" t="s">
        <v>229</v>
      </c>
      <c r="E239" s="40"/>
      <c r="F239" s="40"/>
      <c r="G239" s="6">
        <f>G240</f>
        <v>0</v>
      </c>
      <c r="H239" s="6">
        <f>H240</f>
        <v>0</v>
      </c>
    </row>
    <row r="240" spans="1:8" ht="47.25" hidden="1" x14ac:dyDescent="0.25">
      <c r="A240" s="25" t="s">
        <v>288</v>
      </c>
      <c r="B240" s="20" t="s">
        <v>1024</v>
      </c>
      <c r="C240" s="40" t="s">
        <v>280</v>
      </c>
      <c r="D240" s="40" t="s">
        <v>229</v>
      </c>
      <c r="E240" s="40" t="s">
        <v>289</v>
      </c>
      <c r="F240" s="40"/>
      <c r="G240" s="6">
        <f>G241</f>
        <v>0</v>
      </c>
      <c r="H240" s="6">
        <f>H241</f>
        <v>0</v>
      </c>
    </row>
    <row r="241" spans="1:8" ht="15.75" hidden="1" x14ac:dyDescent="0.25">
      <c r="A241" s="25" t="s">
        <v>290</v>
      </c>
      <c r="B241" s="20" t="s">
        <v>1024</v>
      </c>
      <c r="C241" s="40" t="s">
        <v>280</v>
      </c>
      <c r="D241" s="40" t="s">
        <v>229</v>
      </c>
      <c r="E241" s="40" t="s">
        <v>291</v>
      </c>
      <c r="F241" s="40"/>
      <c r="G241" s="6">
        <f>'пр.5.1.ведом.21-22'!G652</f>
        <v>0</v>
      </c>
      <c r="H241" s="6">
        <f>'пр.5.1.ведом.21-22'!H652</f>
        <v>0</v>
      </c>
    </row>
    <row r="242" spans="1:8" ht="31.5" hidden="1" x14ac:dyDescent="0.25">
      <c r="A242" s="29" t="s">
        <v>419</v>
      </c>
      <c r="B242" s="20" t="s">
        <v>1024</v>
      </c>
      <c r="C242" s="40" t="s">
        <v>280</v>
      </c>
      <c r="D242" s="40" t="s">
        <v>229</v>
      </c>
      <c r="E242" s="40" t="s">
        <v>291</v>
      </c>
      <c r="F242" s="40" t="s">
        <v>653</v>
      </c>
      <c r="G242" s="10">
        <f>G241</f>
        <v>0</v>
      </c>
      <c r="H242" s="10">
        <f>H241</f>
        <v>0</v>
      </c>
    </row>
    <row r="243" spans="1:8" ht="15.75" x14ac:dyDescent="0.25">
      <c r="A243" s="29" t="s">
        <v>281</v>
      </c>
      <c r="B243" s="40" t="s">
        <v>1021</v>
      </c>
      <c r="C243" s="40" t="s">
        <v>280</v>
      </c>
      <c r="D243" s="40" t="s">
        <v>231</v>
      </c>
      <c r="E243" s="40"/>
      <c r="F243" s="40"/>
      <c r="G243" s="6">
        <f>G248+G252+G256+G244</f>
        <v>1622.1999999999998</v>
      </c>
      <c r="H243" s="6">
        <f>H248+H252+H256+H244</f>
        <v>1622.1999999999998</v>
      </c>
    </row>
    <row r="244" spans="1:8" s="331" customFormat="1" ht="110.25" x14ac:dyDescent="0.25">
      <c r="A244" s="31" t="s">
        <v>309</v>
      </c>
      <c r="B244" s="338" t="s">
        <v>1519</v>
      </c>
      <c r="C244" s="346" t="s">
        <v>280</v>
      </c>
      <c r="D244" s="346" t="s">
        <v>231</v>
      </c>
      <c r="E244" s="346"/>
      <c r="F244" s="346"/>
      <c r="G244" s="6">
        <f>G245</f>
        <v>903.4</v>
      </c>
      <c r="H244" s="6">
        <f>H245</f>
        <v>903.4</v>
      </c>
    </row>
    <row r="245" spans="1:8" s="331" customFormat="1" ht="47.25" x14ac:dyDescent="0.25">
      <c r="A245" s="342" t="s">
        <v>288</v>
      </c>
      <c r="B245" s="338" t="s">
        <v>1519</v>
      </c>
      <c r="C245" s="346" t="s">
        <v>280</v>
      </c>
      <c r="D245" s="346" t="s">
        <v>231</v>
      </c>
      <c r="E245" s="346" t="s">
        <v>289</v>
      </c>
      <c r="F245" s="346"/>
      <c r="G245" s="6">
        <f>G246</f>
        <v>903.4</v>
      </c>
      <c r="H245" s="6">
        <f>H246</f>
        <v>903.4</v>
      </c>
    </row>
    <row r="246" spans="1:8" s="331" customFormat="1" ht="15.75" x14ac:dyDescent="0.25">
      <c r="A246" s="342" t="s">
        <v>290</v>
      </c>
      <c r="B246" s="338" t="s">
        <v>1519</v>
      </c>
      <c r="C246" s="346" t="s">
        <v>280</v>
      </c>
      <c r="D246" s="346" t="s">
        <v>231</v>
      </c>
      <c r="E246" s="346" t="s">
        <v>291</v>
      </c>
      <c r="F246" s="346"/>
      <c r="G246" s="6">
        <f>'пр.5.1.ведом.21-22'!G712</f>
        <v>903.4</v>
      </c>
      <c r="H246" s="6">
        <f>'пр.5.1.ведом.21-22'!H712</f>
        <v>903.4</v>
      </c>
    </row>
    <row r="247" spans="1:8" s="331" customFormat="1" ht="31.5" x14ac:dyDescent="0.25">
      <c r="A247" s="345" t="s">
        <v>419</v>
      </c>
      <c r="B247" s="338" t="s">
        <v>1519</v>
      </c>
      <c r="C247" s="346" t="s">
        <v>280</v>
      </c>
      <c r="D247" s="346" t="s">
        <v>231</v>
      </c>
      <c r="E247" s="346" t="s">
        <v>291</v>
      </c>
      <c r="F247" s="346" t="s">
        <v>653</v>
      </c>
      <c r="G247" s="6">
        <f>G244</f>
        <v>903.4</v>
      </c>
      <c r="H247" s="6">
        <f>H244</f>
        <v>903.4</v>
      </c>
    </row>
    <row r="248" spans="1:8" ht="78.75" x14ac:dyDescent="0.25">
      <c r="A248" s="31" t="s">
        <v>305</v>
      </c>
      <c r="B248" s="20" t="s">
        <v>1020</v>
      </c>
      <c r="C248" s="40" t="s">
        <v>280</v>
      </c>
      <c r="D248" s="40" t="s">
        <v>231</v>
      </c>
      <c r="E248" s="40"/>
      <c r="F248" s="40"/>
      <c r="G248" s="6">
        <f>G249</f>
        <v>169.3</v>
      </c>
      <c r="H248" s="6">
        <f>H249</f>
        <v>169.3</v>
      </c>
    </row>
    <row r="249" spans="1:8" ht="47.25" x14ac:dyDescent="0.25">
      <c r="A249" s="25" t="s">
        <v>288</v>
      </c>
      <c r="B249" s="20" t="s">
        <v>1020</v>
      </c>
      <c r="C249" s="40" t="s">
        <v>280</v>
      </c>
      <c r="D249" s="40" t="s">
        <v>231</v>
      </c>
      <c r="E249" s="40" t="s">
        <v>289</v>
      </c>
      <c r="F249" s="40"/>
      <c r="G249" s="6">
        <f>G250</f>
        <v>169.3</v>
      </c>
      <c r="H249" s="6">
        <f>H250</f>
        <v>169.3</v>
      </c>
    </row>
    <row r="250" spans="1:8" ht="15.75" x14ac:dyDescent="0.25">
      <c r="A250" s="25" t="s">
        <v>290</v>
      </c>
      <c r="B250" s="20" t="s">
        <v>1020</v>
      </c>
      <c r="C250" s="40" t="s">
        <v>280</v>
      </c>
      <c r="D250" s="40" t="s">
        <v>231</v>
      </c>
      <c r="E250" s="40" t="s">
        <v>291</v>
      </c>
      <c r="F250" s="40"/>
      <c r="G250" s="6">
        <f>'пр.5.1.ведом.21-22'!G715</f>
        <v>169.3</v>
      </c>
      <c r="H250" s="6">
        <f>'пр.5.1.ведом.21-22'!H715</f>
        <v>169.3</v>
      </c>
    </row>
    <row r="251" spans="1:8" ht="31.5" x14ac:dyDescent="0.25">
      <c r="A251" s="29" t="s">
        <v>419</v>
      </c>
      <c r="B251" s="20" t="s">
        <v>1020</v>
      </c>
      <c r="C251" s="40" t="s">
        <v>280</v>
      </c>
      <c r="D251" s="40" t="s">
        <v>231</v>
      </c>
      <c r="E251" s="40" t="s">
        <v>291</v>
      </c>
      <c r="F251" s="40" t="s">
        <v>653</v>
      </c>
      <c r="G251" s="10">
        <f>G250</f>
        <v>169.3</v>
      </c>
      <c r="H251" s="10">
        <f>H250</f>
        <v>169.3</v>
      </c>
    </row>
    <row r="252" spans="1:8" ht="94.5" x14ac:dyDescent="0.25">
      <c r="A252" s="31" t="s">
        <v>307</v>
      </c>
      <c r="B252" s="20" t="s">
        <v>1023</v>
      </c>
      <c r="C252" s="40" t="s">
        <v>280</v>
      </c>
      <c r="D252" s="40" t="s">
        <v>231</v>
      </c>
      <c r="E252" s="40"/>
      <c r="F252" s="40"/>
      <c r="G252" s="6">
        <f>G253</f>
        <v>549.5</v>
      </c>
      <c r="H252" s="6">
        <f>H253</f>
        <v>549.5</v>
      </c>
    </row>
    <row r="253" spans="1:8" ht="47.25" x14ac:dyDescent="0.25">
      <c r="A253" s="25" t="s">
        <v>288</v>
      </c>
      <c r="B253" s="20" t="s">
        <v>1023</v>
      </c>
      <c r="C253" s="40" t="s">
        <v>280</v>
      </c>
      <c r="D253" s="40" t="s">
        <v>231</v>
      </c>
      <c r="E253" s="40" t="s">
        <v>289</v>
      </c>
      <c r="F253" s="40"/>
      <c r="G253" s="6">
        <f>G254</f>
        <v>549.5</v>
      </c>
      <c r="H253" s="6">
        <f>H254</f>
        <v>549.5</v>
      </c>
    </row>
    <row r="254" spans="1:8" ht="15.75" x14ac:dyDescent="0.25">
      <c r="A254" s="25" t="s">
        <v>290</v>
      </c>
      <c r="B254" s="20" t="s">
        <v>1023</v>
      </c>
      <c r="C254" s="40" t="s">
        <v>280</v>
      </c>
      <c r="D254" s="40" t="s">
        <v>231</v>
      </c>
      <c r="E254" s="40" t="s">
        <v>291</v>
      </c>
      <c r="F254" s="40"/>
      <c r="G254" s="6">
        <f>'пр.5.1.ведом.21-22'!G718</f>
        <v>549.5</v>
      </c>
      <c r="H254" s="6">
        <f>'пр.5.1.ведом.21-22'!H718</f>
        <v>549.5</v>
      </c>
    </row>
    <row r="255" spans="1:8" ht="31.5" x14ac:dyDescent="0.25">
      <c r="A255" s="29" t="s">
        <v>419</v>
      </c>
      <c r="B255" s="20" t="s">
        <v>1023</v>
      </c>
      <c r="C255" s="40" t="s">
        <v>280</v>
      </c>
      <c r="D255" s="40" t="s">
        <v>231</v>
      </c>
      <c r="E255" s="40" t="s">
        <v>291</v>
      </c>
      <c r="F255" s="40" t="s">
        <v>653</v>
      </c>
      <c r="G255" s="10">
        <f>G254</f>
        <v>549.5</v>
      </c>
      <c r="H255" s="10">
        <f>H254</f>
        <v>549.5</v>
      </c>
    </row>
    <row r="256" spans="1:8" ht="110.25" hidden="1" x14ac:dyDescent="0.25">
      <c r="A256" s="31" t="s">
        <v>309</v>
      </c>
      <c r="B256" s="20" t="s">
        <v>1024</v>
      </c>
      <c r="C256" s="40" t="s">
        <v>280</v>
      </c>
      <c r="D256" s="40" t="s">
        <v>231</v>
      </c>
      <c r="E256" s="40"/>
      <c r="F256" s="40"/>
      <c r="G256" s="6">
        <f>G257</f>
        <v>0</v>
      </c>
      <c r="H256" s="6">
        <f>H257</f>
        <v>0</v>
      </c>
    </row>
    <row r="257" spans="1:8" ht="47.25" hidden="1" x14ac:dyDescent="0.25">
      <c r="A257" s="25" t="s">
        <v>288</v>
      </c>
      <c r="B257" s="20" t="s">
        <v>1024</v>
      </c>
      <c r="C257" s="40" t="s">
        <v>280</v>
      </c>
      <c r="D257" s="40" t="s">
        <v>231</v>
      </c>
      <c r="E257" s="40" t="s">
        <v>289</v>
      </c>
      <c r="F257" s="40"/>
      <c r="G257" s="6">
        <f>G258</f>
        <v>0</v>
      </c>
      <c r="H257" s="6">
        <f>H258</f>
        <v>0</v>
      </c>
    </row>
    <row r="258" spans="1:8" ht="15.75" hidden="1" x14ac:dyDescent="0.25">
      <c r="A258" s="25" t="s">
        <v>290</v>
      </c>
      <c r="B258" s="20" t="s">
        <v>1024</v>
      </c>
      <c r="C258" s="40" t="s">
        <v>280</v>
      </c>
      <c r="D258" s="40" t="s">
        <v>231</v>
      </c>
      <c r="E258" s="40" t="s">
        <v>291</v>
      </c>
      <c r="F258" s="40"/>
      <c r="G258" s="6">
        <f>'пр.5.1.ведом.21-22'!G721</f>
        <v>0</v>
      </c>
      <c r="H258" s="6">
        <f>'пр.5.1.ведом.21-22'!H721</f>
        <v>0</v>
      </c>
    </row>
    <row r="259" spans="1:8" ht="31.5" hidden="1" x14ac:dyDescent="0.25">
      <c r="A259" s="29" t="s">
        <v>419</v>
      </c>
      <c r="B259" s="20" t="s">
        <v>1024</v>
      </c>
      <c r="C259" s="40" t="s">
        <v>280</v>
      </c>
      <c r="D259" s="40" t="s">
        <v>231</v>
      </c>
      <c r="E259" s="40" t="s">
        <v>291</v>
      </c>
      <c r="F259" s="40" t="s">
        <v>653</v>
      </c>
      <c r="G259" s="10">
        <f>G258</f>
        <v>0</v>
      </c>
      <c r="H259" s="10">
        <f>H258</f>
        <v>0</v>
      </c>
    </row>
    <row r="260" spans="1:8" ht="47.25" x14ac:dyDescent="0.25">
      <c r="A260" s="41" t="s">
        <v>427</v>
      </c>
      <c r="B260" s="7" t="s">
        <v>428</v>
      </c>
      <c r="C260" s="7"/>
      <c r="D260" s="7"/>
      <c r="E260" s="7"/>
      <c r="F260" s="7"/>
      <c r="G260" s="59">
        <f>G261+G276+G291+G302</f>
        <v>10997.7</v>
      </c>
      <c r="H260" s="59">
        <f>H261+H276+H291+H302</f>
        <v>10997.7</v>
      </c>
    </row>
    <row r="261" spans="1:8" ht="31.5" x14ac:dyDescent="0.25">
      <c r="A261" s="23" t="s">
        <v>1007</v>
      </c>
      <c r="B261" s="24" t="s">
        <v>1008</v>
      </c>
      <c r="C261" s="7"/>
      <c r="D261" s="7"/>
      <c r="E261" s="7"/>
      <c r="F261" s="7"/>
      <c r="G261" s="59">
        <f>G262</f>
        <v>4430</v>
      </c>
      <c r="H261" s="59">
        <f>H262</f>
        <v>4430</v>
      </c>
    </row>
    <row r="262" spans="1:8" ht="15.75" x14ac:dyDescent="0.25">
      <c r="A262" s="29" t="s">
        <v>279</v>
      </c>
      <c r="B262" s="40" t="s">
        <v>1008</v>
      </c>
      <c r="C262" s="40" t="s">
        <v>280</v>
      </c>
      <c r="D262" s="40"/>
      <c r="E262" s="40"/>
      <c r="F262" s="40"/>
      <c r="G262" s="10">
        <f t="shared" ref="G262:H262" si="31">G263</f>
        <v>4430</v>
      </c>
      <c r="H262" s="10">
        <f t="shared" si="31"/>
        <v>4430</v>
      </c>
    </row>
    <row r="263" spans="1:8" ht="15.75" x14ac:dyDescent="0.25">
      <c r="A263" s="45" t="s">
        <v>420</v>
      </c>
      <c r="B263" s="40" t="s">
        <v>1008</v>
      </c>
      <c r="C263" s="40" t="s">
        <v>280</v>
      </c>
      <c r="D263" s="40" t="s">
        <v>134</v>
      </c>
      <c r="E263" s="40"/>
      <c r="F263" s="40"/>
      <c r="G263" s="10">
        <f>G264+G268+G272</f>
        <v>4430</v>
      </c>
      <c r="H263" s="10">
        <f>H264+H268+H272</f>
        <v>4430</v>
      </c>
    </row>
    <row r="264" spans="1:8" ht="47.25" hidden="1" x14ac:dyDescent="0.25">
      <c r="A264" s="29" t="s">
        <v>294</v>
      </c>
      <c r="B264" s="20" t="s">
        <v>1009</v>
      </c>
      <c r="C264" s="40" t="s">
        <v>280</v>
      </c>
      <c r="D264" s="40" t="s">
        <v>134</v>
      </c>
      <c r="E264" s="40"/>
      <c r="F264" s="40"/>
      <c r="G264" s="10">
        <f t="shared" ref="G264:H265" si="32">G265</f>
        <v>0</v>
      </c>
      <c r="H264" s="10">
        <f t="shared" si="32"/>
        <v>0</v>
      </c>
    </row>
    <row r="265" spans="1:8" ht="47.25" hidden="1" x14ac:dyDescent="0.25">
      <c r="A265" s="29" t="s">
        <v>288</v>
      </c>
      <c r="B265" s="20" t="s">
        <v>1009</v>
      </c>
      <c r="C265" s="40" t="s">
        <v>280</v>
      </c>
      <c r="D265" s="40" t="s">
        <v>134</v>
      </c>
      <c r="E265" s="40" t="s">
        <v>289</v>
      </c>
      <c r="F265" s="40"/>
      <c r="G265" s="10">
        <f t="shared" si="32"/>
        <v>0</v>
      </c>
      <c r="H265" s="10">
        <f t="shared" si="32"/>
        <v>0</v>
      </c>
    </row>
    <row r="266" spans="1:8" ht="15.75" hidden="1" x14ac:dyDescent="0.25">
      <c r="A266" s="29" t="s">
        <v>290</v>
      </c>
      <c r="B266" s="20" t="s">
        <v>1009</v>
      </c>
      <c r="C266" s="40" t="s">
        <v>280</v>
      </c>
      <c r="D266" s="40" t="s">
        <v>134</v>
      </c>
      <c r="E266" s="40" t="s">
        <v>291</v>
      </c>
      <c r="F266" s="40"/>
      <c r="G266" s="10">
        <f>'пр.5.1.ведом.21-22'!G577</f>
        <v>0</v>
      </c>
      <c r="H266" s="10">
        <f>'пр.5.1.ведом.21-22'!H577</f>
        <v>0</v>
      </c>
    </row>
    <row r="267" spans="1:8" ht="31.5" hidden="1" x14ac:dyDescent="0.25">
      <c r="A267" s="29" t="s">
        <v>419</v>
      </c>
      <c r="B267" s="20" t="s">
        <v>1009</v>
      </c>
      <c r="C267" s="40" t="s">
        <v>280</v>
      </c>
      <c r="D267" s="40" t="s">
        <v>134</v>
      </c>
      <c r="E267" s="40" t="s">
        <v>291</v>
      </c>
      <c r="F267" s="40" t="s">
        <v>653</v>
      </c>
      <c r="G267" s="10">
        <f>G266</f>
        <v>0</v>
      </c>
      <c r="H267" s="10">
        <f>H266</f>
        <v>0</v>
      </c>
    </row>
    <row r="268" spans="1:8" ht="31.5" hidden="1" x14ac:dyDescent="0.25">
      <c r="A268" s="29" t="s">
        <v>296</v>
      </c>
      <c r="B268" s="20" t="s">
        <v>1010</v>
      </c>
      <c r="C268" s="40" t="s">
        <v>280</v>
      </c>
      <c r="D268" s="40" t="s">
        <v>134</v>
      </c>
      <c r="E268" s="40"/>
      <c r="F268" s="40"/>
      <c r="G268" s="10">
        <f t="shared" ref="G268:H269" si="33">G269</f>
        <v>0</v>
      </c>
      <c r="H268" s="10">
        <f t="shared" si="33"/>
        <v>0</v>
      </c>
    </row>
    <row r="269" spans="1:8" ht="47.25" hidden="1" x14ac:dyDescent="0.25">
      <c r="A269" s="29" t="s">
        <v>288</v>
      </c>
      <c r="B269" s="20" t="s">
        <v>1010</v>
      </c>
      <c r="C269" s="40" t="s">
        <v>280</v>
      </c>
      <c r="D269" s="40" t="s">
        <v>134</v>
      </c>
      <c r="E269" s="40" t="s">
        <v>289</v>
      </c>
      <c r="F269" s="40"/>
      <c r="G269" s="10">
        <f t="shared" si="33"/>
        <v>0</v>
      </c>
      <c r="H269" s="10">
        <f t="shared" si="33"/>
        <v>0</v>
      </c>
    </row>
    <row r="270" spans="1:8" ht="15.75" hidden="1" x14ac:dyDescent="0.25">
      <c r="A270" s="29" t="s">
        <v>290</v>
      </c>
      <c r="B270" s="20" t="s">
        <v>1010</v>
      </c>
      <c r="C270" s="40" t="s">
        <v>280</v>
      </c>
      <c r="D270" s="40" t="s">
        <v>134</v>
      </c>
      <c r="E270" s="40" t="s">
        <v>291</v>
      </c>
      <c r="F270" s="40"/>
      <c r="G270" s="10">
        <f>'пр.5.1.ведом.21-22'!G580</f>
        <v>0</v>
      </c>
      <c r="H270" s="10">
        <f>'пр.5.1.ведом.21-22'!H580</f>
        <v>0</v>
      </c>
    </row>
    <row r="271" spans="1:8" ht="31.5" hidden="1" x14ac:dyDescent="0.25">
      <c r="A271" s="29" t="s">
        <v>419</v>
      </c>
      <c r="B271" s="20" t="s">
        <v>1010</v>
      </c>
      <c r="C271" s="40" t="s">
        <v>280</v>
      </c>
      <c r="D271" s="40" t="s">
        <v>134</v>
      </c>
      <c r="E271" s="40" t="s">
        <v>291</v>
      </c>
      <c r="F271" s="40" t="s">
        <v>653</v>
      </c>
      <c r="G271" s="10">
        <f>G270</f>
        <v>0</v>
      </c>
      <c r="H271" s="10">
        <f>H270</f>
        <v>0</v>
      </c>
    </row>
    <row r="272" spans="1:8" ht="47.25" x14ac:dyDescent="0.25">
      <c r="A272" s="29" t="s">
        <v>431</v>
      </c>
      <c r="B272" s="20" t="s">
        <v>1011</v>
      </c>
      <c r="C272" s="40" t="s">
        <v>280</v>
      </c>
      <c r="D272" s="40" t="s">
        <v>134</v>
      </c>
      <c r="E272" s="40"/>
      <c r="F272" s="40"/>
      <c r="G272" s="10">
        <f t="shared" ref="G272:H273" si="34">G273</f>
        <v>4430</v>
      </c>
      <c r="H272" s="10">
        <f t="shared" si="34"/>
        <v>4430</v>
      </c>
    </row>
    <row r="273" spans="1:8" ht="47.25" x14ac:dyDescent="0.25">
      <c r="A273" s="29" t="s">
        <v>288</v>
      </c>
      <c r="B273" s="20" t="s">
        <v>1011</v>
      </c>
      <c r="C273" s="40" t="s">
        <v>280</v>
      </c>
      <c r="D273" s="40" t="s">
        <v>134</v>
      </c>
      <c r="E273" s="40" t="s">
        <v>289</v>
      </c>
      <c r="F273" s="40"/>
      <c r="G273" s="10">
        <f t="shared" si="34"/>
        <v>4430</v>
      </c>
      <c r="H273" s="10">
        <f t="shared" si="34"/>
        <v>4430</v>
      </c>
    </row>
    <row r="274" spans="1:8" ht="15.75" x14ac:dyDescent="0.25">
      <c r="A274" s="29" t="s">
        <v>290</v>
      </c>
      <c r="B274" s="20" t="s">
        <v>1011</v>
      </c>
      <c r="C274" s="40" t="s">
        <v>280</v>
      </c>
      <c r="D274" s="40" t="s">
        <v>134</v>
      </c>
      <c r="E274" s="40" t="s">
        <v>291</v>
      </c>
      <c r="F274" s="40"/>
      <c r="G274" s="6">
        <f>'пр.5.1.ведом.21-22'!G583</f>
        <v>4430</v>
      </c>
      <c r="H274" s="6">
        <f>'пр.5.1.ведом.21-22'!H583</f>
        <v>4430</v>
      </c>
    </row>
    <row r="275" spans="1:8" ht="31.5" x14ac:dyDescent="0.25">
      <c r="A275" s="29" t="s">
        <v>419</v>
      </c>
      <c r="B275" s="20" t="s">
        <v>1011</v>
      </c>
      <c r="C275" s="40" t="s">
        <v>280</v>
      </c>
      <c r="D275" s="40" t="s">
        <v>134</v>
      </c>
      <c r="E275" s="40" t="s">
        <v>291</v>
      </c>
      <c r="F275" s="40" t="s">
        <v>653</v>
      </c>
      <c r="G275" s="10">
        <f>G274</f>
        <v>4430</v>
      </c>
      <c r="H275" s="10">
        <f>H274</f>
        <v>4430</v>
      </c>
    </row>
    <row r="276" spans="1:8" ht="47.25" x14ac:dyDescent="0.25">
      <c r="A276" s="231" t="s">
        <v>1077</v>
      </c>
      <c r="B276" s="24" t="s">
        <v>1012</v>
      </c>
      <c r="C276" s="7"/>
      <c r="D276" s="7"/>
      <c r="E276" s="7"/>
      <c r="F276" s="7"/>
      <c r="G276" s="4">
        <f>G277</f>
        <v>4610</v>
      </c>
      <c r="H276" s="4">
        <f>H277</f>
        <v>4610</v>
      </c>
    </row>
    <row r="277" spans="1:8" ht="15.75" x14ac:dyDescent="0.25">
      <c r="A277" s="29" t="s">
        <v>279</v>
      </c>
      <c r="B277" s="40" t="s">
        <v>1012</v>
      </c>
      <c r="C277" s="40" t="s">
        <v>280</v>
      </c>
      <c r="D277" s="40"/>
      <c r="E277" s="40"/>
      <c r="F277" s="40"/>
      <c r="G277" s="10">
        <f t="shared" ref="G277:H277" si="35">G278</f>
        <v>4610</v>
      </c>
      <c r="H277" s="10">
        <f t="shared" si="35"/>
        <v>4610</v>
      </c>
    </row>
    <row r="278" spans="1:8" ht="15.75" x14ac:dyDescent="0.25">
      <c r="A278" s="45" t="s">
        <v>420</v>
      </c>
      <c r="B278" s="40" t="s">
        <v>1012</v>
      </c>
      <c r="C278" s="40" t="s">
        <v>280</v>
      </c>
      <c r="D278" s="40" t="s">
        <v>134</v>
      </c>
      <c r="E278" s="40"/>
      <c r="F278" s="40"/>
      <c r="G278" s="10">
        <f>G279+G283+G287</f>
        <v>4610</v>
      </c>
      <c r="H278" s="10">
        <f>H279+H283+H287</f>
        <v>4610</v>
      </c>
    </row>
    <row r="279" spans="1:8" ht="31.5" hidden="1" x14ac:dyDescent="0.25">
      <c r="A279" s="29" t="s">
        <v>300</v>
      </c>
      <c r="B279" s="20" t="s">
        <v>1013</v>
      </c>
      <c r="C279" s="40" t="s">
        <v>280</v>
      </c>
      <c r="D279" s="40" t="s">
        <v>134</v>
      </c>
      <c r="E279" s="40"/>
      <c r="F279" s="40"/>
      <c r="G279" s="10">
        <f t="shared" ref="G279:H280" si="36">G280</f>
        <v>0</v>
      </c>
      <c r="H279" s="10">
        <f t="shared" si="36"/>
        <v>0</v>
      </c>
    </row>
    <row r="280" spans="1:8" ht="47.25" hidden="1" x14ac:dyDescent="0.25">
      <c r="A280" s="29" t="s">
        <v>288</v>
      </c>
      <c r="B280" s="20" t="s">
        <v>1013</v>
      </c>
      <c r="C280" s="40" t="s">
        <v>280</v>
      </c>
      <c r="D280" s="40" t="s">
        <v>134</v>
      </c>
      <c r="E280" s="40" t="s">
        <v>289</v>
      </c>
      <c r="F280" s="40"/>
      <c r="G280" s="10">
        <f t="shared" si="36"/>
        <v>0</v>
      </c>
      <c r="H280" s="10">
        <f t="shared" si="36"/>
        <v>0</v>
      </c>
    </row>
    <row r="281" spans="1:8" ht="15.75" hidden="1" x14ac:dyDescent="0.25">
      <c r="A281" s="29" t="s">
        <v>290</v>
      </c>
      <c r="B281" s="20" t="s">
        <v>1013</v>
      </c>
      <c r="C281" s="40" t="s">
        <v>280</v>
      </c>
      <c r="D281" s="40" t="s">
        <v>134</v>
      </c>
      <c r="E281" s="40" t="s">
        <v>291</v>
      </c>
      <c r="F281" s="40"/>
      <c r="G281" s="10">
        <f>'пр.5.1.ведом.21-22'!G587</f>
        <v>0</v>
      </c>
      <c r="H281" s="10">
        <f>'пр.5.1.ведом.21-22'!H587</f>
        <v>0</v>
      </c>
    </row>
    <row r="282" spans="1:8" ht="31.5" hidden="1" x14ac:dyDescent="0.25">
      <c r="A282" s="29" t="s">
        <v>419</v>
      </c>
      <c r="B282" s="20" t="s">
        <v>1013</v>
      </c>
      <c r="C282" s="40" t="s">
        <v>280</v>
      </c>
      <c r="D282" s="40" t="s">
        <v>134</v>
      </c>
      <c r="E282" s="40" t="s">
        <v>291</v>
      </c>
      <c r="F282" s="40" t="s">
        <v>653</v>
      </c>
      <c r="G282" s="10">
        <f>G281</f>
        <v>0</v>
      </c>
      <c r="H282" s="10">
        <f>H281</f>
        <v>0</v>
      </c>
    </row>
    <row r="283" spans="1:8" ht="47.25" x14ac:dyDescent="0.25">
      <c r="A283" s="60" t="s">
        <v>787</v>
      </c>
      <c r="B283" s="20" t="s">
        <v>1014</v>
      </c>
      <c r="C283" s="20" t="s">
        <v>280</v>
      </c>
      <c r="D283" s="20" t="s">
        <v>134</v>
      </c>
      <c r="E283" s="20"/>
      <c r="F283" s="20"/>
      <c r="G283" s="10">
        <f t="shared" ref="G283:H284" si="37">G284</f>
        <v>2850</v>
      </c>
      <c r="H283" s="10">
        <f t="shared" si="37"/>
        <v>2850</v>
      </c>
    </row>
    <row r="284" spans="1:8" ht="47.25" x14ac:dyDescent="0.25">
      <c r="A284" s="29" t="s">
        <v>288</v>
      </c>
      <c r="B284" s="20" t="s">
        <v>1014</v>
      </c>
      <c r="C284" s="20" t="s">
        <v>280</v>
      </c>
      <c r="D284" s="20" t="s">
        <v>134</v>
      </c>
      <c r="E284" s="20" t="s">
        <v>289</v>
      </c>
      <c r="F284" s="20"/>
      <c r="G284" s="10">
        <f t="shared" si="37"/>
        <v>2850</v>
      </c>
      <c r="H284" s="10">
        <f t="shared" si="37"/>
        <v>2850</v>
      </c>
    </row>
    <row r="285" spans="1:8" ht="15.75" x14ac:dyDescent="0.25">
      <c r="A285" s="192" t="s">
        <v>290</v>
      </c>
      <c r="B285" s="20" t="s">
        <v>1014</v>
      </c>
      <c r="C285" s="20" t="s">
        <v>280</v>
      </c>
      <c r="D285" s="20" t="s">
        <v>134</v>
      </c>
      <c r="E285" s="20" t="s">
        <v>291</v>
      </c>
      <c r="F285" s="20"/>
      <c r="G285" s="10">
        <f>'пр.5.1.ведом.21-22'!G590</f>
        <v>2850</v>
      </c>
      <c r="H285" s="10">
        <f>'пр.5.1.ведом.21-22'!H590</f>
        <v>2850</v>
      </c>
    </row>
    <row r="286" spans="1:8" ht="31.5" x14ac:dyDescent="0.25">
      <c r="A286" s="29" t="s">
        <v>419</v>
      </c>
      <c r="B286" s="20" t="s">
        <v>1014</v>
      </c>
      <c r="C286" s="40" t="s">
        <v>280</v>
      </c>
      <c r="D286" s="40" t="s">
        <v>134</v>
      </c>
      <c r="E286" s="40" t="s">
        <v>291</v>
      </c>
      <c r="F286" s="40" t="s">
        <v>653</v>
      </c>
      <c r="G286" s="10">
        <f>G285</f>
        <v>2850</v>
      </c>
      <c r="H286" s="10">
        <f>H285</f>
        <v>2850</v>
      </c>
    </row>
    <row r="287" spans="1:8" ht="63" x14ac:dyDescent="0.25">
      <c r="A287" s="60" t="s">
        <v>788</v>
      </c>
      <c r="B287" s="20" t="s">
        <v>1015</v>
      </c>
      <c r="C287" s="20" t="s">
        <v>280</v>
      </c>
      <c r="D287" s="20" t="s">
        <v>134</v>
      </c>
      <c r="E287" s="20"/>
      <c r="F287" s="20"/>
      <c r="G287" s="10">
        <f t="shared" ref="G287:H288" si="38">G288</f>
        <v>1760</v>
      </c>
      <c r="H287" s="10">
        <f t="shared" si="38"/>
        <v>1760</v>
      </c>
    </row>
    <row r="288" spans="1:8" ht="47.25" x14ac:dyDescent="0.25">
      <c r="A288" s="29" t="s">
        <v>288</v>
      </c>
      <c r="B288" s="20" t="s">
        <v>1015</v>
      </c>
      <c r="C288" s="20" t="s">
        <v>280</v>
      </c>
      <c r="D288" s="20" t="s">
        <v>134</v>
      </c>
      <c r="E288" s="20" t="s">
        <v>289</v>
      </c>
      <c r="F288" s="20"/>
      <c r="G288" s="10">
        <f t="shared" si="38"/>
        <v>1760</v>
      </c>
      <c r="H288" s="10">
        <f t="shared" si="38"/>
        <v>1760</v>
      </c>
    </row>
    <row r="289" spans="1:8" ht="15.75" x14ac:dyDescent="0.25">
      <c r="A289" s="192" t="s">
        <v>290</v>
      </c>
      <c r="B289" s="20" t="s">
        <v>1015</v>
      </c>
      <c r="C289" s="20" t="s">
        <v>280</v>
      </c>
      <c r="D289" s="20" t="s">
        <v>134</v>
      </c>
      <c r="E289" s="20" t="s">
        <v>291</v>
      </c>
      <c r="F289" s="20"/>
      <c r="G289" s="10">
        <f>'пр.5.1.ведом.21-22'!G593</f>
        <v>1760</v>
      </c>
      <c r="H289" s="10">
        <f>'пр.5.1.ведом.21-22'!H593</f>
        <v>1760</v>
      </c>
    </row>
    <row r="290" spans="1:8" ht="31.5" x14ac:dyDescent="0.25">
      <c r="A290" s="29" t="s">
        <v>419</v>
      </c>
      <c r="B290" s="20" t="s">
        <v>1015</v>
      </c>
      <c r="C290" s="40" t="s">
        <v>280</v>
      </c>
      <c r="D290" s="40" t="s">
        <v>134</v>
      </c>
      <c r="E290" s="40" t="s">
        <v>291</v>
      </c>
      <c r="F290" s="40" t="s">
        <v>653</v>
      </c>
      <c r="G290" s="10">
        <f>G289</f>
        <v>1760</v>
      </c>
      <c r="H290" s="10">
        <f>H289</f>
        <v>1760</v>
      </c>
    </row>
    <row r="291" spans="1:8" ht="78.75" x14ac:dyDescent="0.25">
      <c r="A291" s="23" t="s">
        <v>1016</v>
      </c>
      <c r="B291" s="24" t="s">
        <v>1017</v>
      </c>
      <c r="C291" s="24"/>
      <c r="D291" s="24"/>
      <c r="E291" s="24"/>
      <c r="F291" s="24"/>
      <c r="G291" s="59">
        <f>G292</f>
        <v>291.10000000000002</v>
      </c>
      <c r="H291" s="59">
        <f>H292</f>
        <v>291.10000000000002</v>
      </c>
    </row>
    <row r="292" spans="1:8" ht="15.75" x14ac:dyDescent="0.25">
      <c r="A292" s="29" t="s">
        <v>279</v>
      </c>
      <c r="B292" s="40" t="s">
        <v>1017</v>
      </c>
      <c r="C292" s="40" t="s">
        <v>280</v>
      </c>
      <c r="D292" s="40"/>
      <c r="E292" s="40"/>
      <c r="F292" s="40"/>
      <c r="G292" s="10">
        <f t="shared" ref="G292:H292" si="39">G293</f>
        <v>291.10000000000002</v>
      </c>
      <c r="H292" s="10">
        <f t="shared" si="39"/>
        <v>291.10000000000002</v>
      </c>
    </row>
    <row r="293" spans="1:8" ht="15.75" x14ac:dyDescent="0.25">
      <c r="A293" s="45" t="s">
        <v>420</v>
      </c>
      <c r="B293" s="40" t="s">
        <v>1017</v>
      </c>
      <c r="C293" s="40" t="s">
        <v>280</v>
      </c>
      <c r="D293" s="40" t="s">
        <v>134</v>
      </c>
      <c r="E293" s="40"/>
      <c r="F293" s="40"/>
      <c r="G293" s="10">
        <f>G294+G298</f>
        <v>291.10000000000002</v>
      </c>
      <c r="H293" s="10">
        <f>H294+H298</f>
        <v>291.10000000000002</v>
      </c>
    </row>
    <row r="294" spans="1:8" ht="157.5" x14ac:dyDescent="0.25">
      <c r="A294" s="25" t="s">
        <v>1464</v>
      </c>
      <c r="B294" s="20" t="s">
        <v>1018</v>
      </c>
      <c r="C294" s="20" t="s">
        <v>280</v>
      </c>
      <c r="D294" s="20" t="s">
        <v>134</v>
      </c>
      <c r="E294" s="20"/>
      <c r="F294" s="20"/>
      <c r="G294" s="10">
        <f>G295</f>
        <v>124.4</v>
      </c>
      <c r="H294" s="10">
        <f>H295</f>
        <v>124.4</v>
      </c>
    </row>
    <row r="295" spans="1:8" ht="47.25" x14ac:dyDescent="0.25">
      <c r="A295" s="25" t="s">
        <v>288</v>
      </c>
      <c r="B295" s="20" t="s">
        <v>1018</v>
      </c>
      <c r="C295" s="20" t="s">
        <v>280</v>
      </c>
      <c r="D295" s="20" t="s">
        <v>134</v>
      </c>
      <c r="E295" s="20" t="s">
        <v>289</v>
      </c>
      <c r="F295" s="20"/>
      <c r="G295" s="10">
        <f>G296</f>
        <v>124.4</v>
      </c>
      <c r="H295" s="10">
        <f>H296</f>
        <v>124.4</v>
      </c>
    </row>
    <row r="296" spans="1:8" ht="15.75" x14ac:dyDescent="0.25">
      <c r="A296" s="25" t="s">
        <v>290</v>
      </c>
      <c r="B296" s="20" t="s">
        <v>1018</v>
      </c>
      <c r="C296" s="20" t="s">
        <v>280</v>
      </c>
      <c r="D296" s="20" t="s">
        <v>134</v>
      </c>
      <c r="E296" s="20" t="s">
        <v>291</v>
      </c>
      <c r="F296" s="20"/>
      <c r="G296" s="10">
        <f>'пр.5.1.ведом.21-22'!G597</f>
        <v>124.4</v>
      </c>
      <c r="H296" s="10">
        <f>'пр.5.1.ведом.21-22'!H597</f>
        <v>124.4</v>
      </c>
    </row>
    <row r="297" spans="1:8" ht="31.5" x14ac:dyDescent="0.25">
      <c r="A297" s="29" t="s">
        <v>419</v>
      </c>
      <c r="B297" s="20" t="s">
        <v>1018</v>
      </c>
      <c r="C297" s="40" t="s">
        <v>280</v>
      </c>
      <c r="D297" s="40" t="s">
        <v>134</v>
      </c>
      <c r="E297" s="40" t="s">
        <v>291</v>
      </c>
      <c r="F297" s="40" t="s">
        <v>653</v>
      </c>
      <c r="G297" s="10">
        <f>G296</f>
        <v>124.4</v>
      </c>
      <c r="H297" s="10">
        <f>H296</f>
        <v>124.4</v>
      </c>
    </row>
    <row r="298" spans="1:8" ht="157.5" x14ac:dyDescent="0.25">
      <c r="A298" s="25" t="s">
        <v>439</v>
      </c>
      <c r="B298" s="20" t="s">
        <v>1019</v>
      </c>
      <c r="C298" s="20" t="s">
        <v>280</v>
      </c>
      <c r="D298" s="20" t="s">
        <v>134</v>
      </c>
      <c r="E298" s="20"/>
      <c r="F298" s="20"/>
      <c r="G298" s="10">
        <f>G299</f>
        <v>166.7</v>
      </c>
      <c r="H298" s="10">
        <f>H299</f>
        <v>166.7</v>
      </c>
    </row>
    <row r="299" spans="1:8" ht="47.25" x14ac:dyDescent="0.25">
      <c r="A299" s="25" t="s">
        <v>288</v>
      </c>
      <c r="B299" s="20" t="s">
        <v>1019</v>
      </c>
      <c r="C299" s="20" t="s">
        <v>280</v>
      </c>
      <c r="D299" s="20" t="s">
        <v>134</v>
      </c>
      <c r="E299" s="20" t="s">
        <v>289</v>
      </c>
      <c r="F299" s="20"/>
      <c r="G299" s="10">
        <f>G300</f>
        <v>166.7</v>
      </c>
      <c r="H299" s="10">
        <f>H300</f>
        <v>166.7</v>
      </c>
    </row>
    <row r="300" spans="1:8" ht="15.75" x14ac:dyDescent="0.25">
      <c r="A300" s="25" t="s">
        <v>290</v>
      </c>
      <c r="B300" s="20" t="s">
        <v>1019</v>
      </c>
      <c r="C300" s="20" t="s">
        <v>280</v>
      </c>
      <c r="D300" s="20" t="s">
        <v>134</v>
      </c>
      <c r="E300" s="20" t="s">
        <v>291</v>
      </c>
      <c r="F300" s="20"/>
      <c r="G300" s="10">
        <f>'пр.5.1.ведом.21-22'!G600</f>
        <v>166.7</v>
      </c>
      <c r="H300" s="10">
        <f>'пр.5.1.ведом.21-22'!H600</f>
        <v>166.7</v>
      </c>
    </row>
    <row r="301" spans="1:8" ht="31.5" x14ac:dyDescent="0.25">
      <c r="A301" s="29" t="s">
        <v>419</v>
      </c>
      <c r="B301" s="20" t="s">
        <v>1019</v>
      </c>
      <c r="C301" s="40" t="s">
        <v>280</v>
      </c>
      <c r="D301" s="40" t="s">
        <v>134</v>
      </c>
      <c r="E301" s="40" t="s">
        <v>291</v>
      </c>
      <c r="F301" s="40" t="s">
        <v>653</v>
      </c>
      <c r="G301" s="10">
        <f>G300</f>
        <v>166.7</v>
      </c>
      <c r="H301" s="10">
        <f>H300</f>
        <v>166.7</v>
      </c>
    </row>
    <row r="302" spans="1:8" s="217" customFormat="1" ht="126" x14ac:dyDescent="0.25">
      <c r="A302" s="23" t="s">
        <v>1401</v>
      </c>
      <c r="B302" s="24" t="s">
        <v>1399</v>
      </c>
      <c r="C302" s="7"/>
      <c r="D302" s="7"/>
      <c r="E302" s="7"/>
      <c r="F302" s="7"/>
      <c r="G302" s="59">
        <f>G303</f>
        <v>1666.6</v>
      </c>
      <c r="H302" s="59">
        <f>H303</f>
        <v>1666.6</v>
      </c>
    </row>
    <row r="303" spans="1:8" s="217" customFormat="1" ht="15.75" x14ac:dyDescent="0.25">
      <c r="A303" s="25" t="s">
        <v>279</v>
      </c>
      <c r="B303" s="20" t="s">
        <v>1399</v>
      </c>
      <c r="C303" s="40" t="s">
        <v>280</v>
      </c>
      <c r="D303" s="40"/>
      <c r="E303" s="40"/>
      <c r="F303" s="40"/>
      <c r="G303" s="10">
        <f>G304</f>
        <v>1666.6</v>
      </c>
      <c r="H303" s="10">
        <f>H304</f>
        <v>1666.6</v>
      </c>
    </row>
    <row r="304" spans="1:8" s="217" customFormat="1" ht="15.75" x14ac:dyDescent="0.25">
      <c r="A304" s="25" t="s">
        <v>420</v>
      </c>
      <c r="B304" s="20" t="s">
        <v>1399</v>
      </c>
      <c r="C304" s="40" t="s">
        <v>280</v>
      </c>
      <c r="D304" s="40" t="s">
        <v>134</v>
      </c>
      <c r="E304" s="40"/>
      <c r="F304" s="40"/>
      <c r="G304" s="10">
        <f>G305+G309</f>
        <v>1666.6</v>
      </c>
      <c r="H304" s="10">
        <f>H305+H309</f>
        <v>1666.6</v>
      </c>
    </row>
    <row r="305" spans="1:8" s="217" customFormat="1" ht="94.5" x14ac:dyDescent="0.25">
      <c r="A305" s="151" t="s">
        <v>1465</v>
      </c>
      <c r="B305" s="20" t="s">
        <v>1403</v>
      </c>
      <c r="C305" s="40" t="s">
        <v>280</v>
      </c>
      <c r="D305" s="40" t="s">
        <v>134</v>
      </c>
      <c r="E305" s="40"/>
      <c r="F305" s="40"/>
      <c r="G305" s="10">
        <f>G306</f>
        <v>0</v>
      </c>
      <c r="H305" s="10">
        <f>H306</f>
        <v>0</v>
      </c>
    </row>
    <row r="306" spans="1:8" s="217" customFormat="1" ht="47.25" x14ac:dyDescent="0.25">
      <c r="A306" s="25" t="s">
        <v>288</v>
      </c>
      <c r="B306" s="20" t="s">
        <v>1403</v>
      </c>
      <c r="C306" s="40" t="s">
        <v>280</v>
      </c>
      <c r="D306" s="40" t="s">
        <v>134</v>
      </c>
      <c r="E306" s="40" t="s">
        <v>289</v>
      </c>
      <c r="F306" s="40"/>
      <c r="G306" s="10">
        <f>G307</f>
        <v>0</v>
      </c>
      <c r="H306" s="10">
        <f>H307</f>
        <v>0</v>
      </c>
    </row>
    <row r="307" spans="1:8" s="217" customFormat="1" ht="15.75" x14ac:dyDescent="0.25">
      <c r="A307" s="25" t="s">
        <v>290</v>
      </c>
      <c r="B307" s="20" t="s">
        <v>1403</v>
      </c>
      <c r="C307" s="40" t="s">
        <v>280</v>
      </c>
      <c r="D307" s="40" t="s">
        <v>134</v>
      </c>
      <c r="E307" s="40" t="s">
        <v>291</v>
      </c>
      <c r="F307" s="40"/>
      <c r="G307" s="10">
        <f>'пр.5.1.ведом.21-22'!G609</f>
        <v>0</v>
      </c>
      <c r="H307" s="10">
        <f>'пр.5.1.ведом.21-22'!H609</f>
        <v>0</v>
      </c>
    </row>
    <row r="308" spans="1:8" s="217" customFormat="1" ht="31.5" x14ac:dyDescent="0.25">
      <c r="A308" s="29" t="s">
        <v>419</v>
      </c>
      <c r="B308" s="20" t="s">
        <v>1403</v>
      </c>
      <c r="C308" s="40" t="s">
        <v>280</v>
      </c>
      <c r="D308" s="40" t="s">
        <v>134</v>
      </c>
      <c r="E308" s="40" t="s">
        <v>291</v>
      </c>
      <c r="F308" s="40" t="s">
        <v>653</v>
      </c>
      <c r="G308" s="10">
        <f>G305</f>
        <v>0</v>
      </c>
      <c r="H308" s="10">
        <f>H305</f>
        <v>0</v>
      </c>
    </row>
    <row r="309" spans="1:8" s="217" customFormat="1" ht="110.25" x14ac:dyDescent="0.25">
      <c r="A309" s="151" t="s">
        <v>1400</v>
      </c>
      <c r="B309" s="20" t="s">
        <v>1402</v>
      </c>
      <c r="C309" s="40" t="s">
        <v>280</v>
      </c>
      <c r="D309" s="40" t="s">
        <v>134</v>
      </c>
      <c r="E309" s="40"/>
      <c r="F309" s="40"/>
      <c r="G309" s="10">
        <f>G310</f>
        <v>1666.6</v>
      </c>
      <c r="H309" s="10">
        <f>H310</f>
        <v>1666.6</v>
      </c>
    </row>
    <row r="310" spans="1:8" s="217" customFormat="1" ht="47.25" x14ac:dyDescent="0.25">
      <c r="A310" s="25" t="s">
        <v>288</v>
      </c>
      <c r="B310" s="20" t="s">
        <v>1402</v>
      </c>
      <c r="C310" s="40" t="s">
        <v>280</v>
      </c>
      <c r="D310" s="40" t="s">
        <v>134</v>
      </c>
      <c r="E310" s="40" t="s">
        <v>289</v>
      </c>
      <c r="F310" s="40"/>
      <c r="G310" s="10">
        <f>G311</f>
        <v>1666.6</v>
      </c>
      <c r="H310" s="10">
        <f>H311</f>
        <v>1666.6</v>
      </c>
    </row>
    <row r="311" spans="1:8" s="217" customFormat="1" ht="15.75" x14ac:dyDescent="0.25">
      <c r="A311" s="25" t="s">
        <v>290</v>
      </c>
      <c r="B311" s="20" t="s">
        <v>1402</v>
      </c>
      <c r="C311" s="40" t="s">
        <v>280</v>
      </c>
      <c r="D311" s="40" t="s">
        <v>134</v>
      </c>
      <c r="E311" s="40" t="s">
        <v>291</v>
      </c>
      <c r="F311" s="40"/>
      <c r="G311" s="10">
        <f>'пр.5.1.ведом.21-22'!G612</f>
        <v>1666.6</v>
      </c>
      <c r="H311" s="10">
        <f>'пр.5.1.ведом.21-22'!H612</f>
        <v>1666.6</v>
      </c>
    </row>
    <row r="312" spans="1:8" s="217" customFormat="1" ht="31.5" x14ac:dyDescent="0.25">
      <c r="A312" s="29" t="s">
        <v>419</v>
      </c>
      <c r="B312" s="20" t="s">
        <v>1402</v>
      </c>
      <c r="C312" s="40" t="s">
        <v>280</v>
      </c>
      <c r="D312" s="40" t="s">
        <v>134</v>
      </c>
      <c r="E312" s="40" t="s">
        <v>291</v>
      </c>
      <c r="F312" s="40" t="s">
        <v>653</v>
      </c>
      <c r="G312" s="10">
        <f>G309</f>
        <v>1666.6</v>
      </c>
      <c r="H312" s="10">
        <f>H309</f>
        <v>1666.6</v>
      </c>
    </row>
    <row r="313" spans="1:8" ht="47.25" x14ac:dyDescent="0.25">
      <c r="A313" s="41" t="s">
        <v>446</v>
      </c>
      <c r="B313" s="7" t="s">
        <v>447</v>
      </c>
      <c r="C313" s="7"/>
      <c r="D313" s="7"/>
      <c r="E313" s="7"/>
      <c r="F313" s="7"/>
      <c r="G313" s="4">
        <f>G314+G333+G344+G355+G366</f>
        <v>8844.0999999999985</v>
      </c>
      <c r="H313" s="4">
        <f>H314+H333+H344+H355+H366</f>
        <v>8852.5999999999985</v>
      </c>
    </row>
    <row r="314" spans="1:8" ht="31.5" x14ac:dyDescent="0.25">
      <c r="A314" s="23" t="s">
        <v>1029</v>
      </c>
      <c r="B314" s="24" t="s">
        <v>1030</v>
      </c>
      <c r="C314" s="7"/>
      <c r="D314" s="7"/>
      <c r="E314" s="7"/>
      <c r="F314" s="7"/>
      <c r="G314" s="4">
        <f>G315</f>
        <v>224</v>
      </c>
      <c r="H314" s="4">
        <f>H315</f>
        <v>224</v>
      </c>
    </row>
    <row r="315" spans="1:8" ht="15.75" x14ac:dyDescent="0.25">
      <c r="A315" s="29" t="s">
        <v>279</v>
      </c>
      <c r="B315" s="40" t="s">
        <v>1030</v>
      </c>
      <c r="C315" s="40" t="s">
        <v>280</v>
      </c>
      <c r="D315" s="40"/>
      <c r="E315" s="40"/>
      <c r="F315" s="40"/>
      <c r="G315" s="10">
        <f t="shared" ref="G315:H315" si="40">G316</f>
        <v>224</v>
      </c>
      <c r="H315" s="10">
        <f t="shared" si="40"/>
        <v>224</v>
      </c>
    </row>
    <row r="316" spans="1:8" ht="15.75" x14ac:dyDescent="0.25">
      <c r="A316" s="29" t="s">
        <v>441</v>
      </c>
      <c r="B316" s="40" t="s">
        <v>1030</v>
      </c>
      <c r="C316" s="40" t="s">
        <v>280</v>
      </c>
      <c r="D316" s="40" t="s">
        <v>229</v>
      </c>
      <c r="E316" s="40"/>
      <c r="F316" s="40"/>
      <c r="G316" s="10">
        <f>G317+G321+G325+G329</f>
        <v>224</v>
      </c>
      <c r="H316" s="10">
        <f>H317+H321+H325+H329</f>
        <v>224</v>
      </c>
    </row>
    <row r="317" spans="1:8" ht="47.25" hidden="1" x14ac:dyDescent="0.25">
      <c r="A317" s="25" t="s">
        <v>813</v>
      </c>
      <c r="B317" s="20" t="s">
        <v>1034</v>
      </c>
      <c r="C317" s="40" t="s">
        <v>280</v>
      </c>
      <c r="D317" s="40" t="s">
        <v>229</v>
      </c>
      <c r="E317" s="40"/>
      <c r="F317" s="40"/>
      <c r="G317" s="6">
        <f>G318</f>
        <v>0</v>
      </c>
      <c r="H317" s="6">
        <f>H318</f>
        <v>0</v>
      </c>
    </row>
    <row r="318" spans="1:8" ht="47.25" hidden="1" x14ac:dyDescent="0.25">
      <c r="A318" s="25" t="s">
        <v>288</v>
      </c>
      <c r="B318" s="20" t="s">
        <v>1034</v>
      </c>
      <c r="C318" s="40" t="s">
        <v>280</v>
      </c>
      <c r="D318" s="40" t="s">
        <v>229</v>
      </c>
      <c r="E318" s="40" t="s">
        <v>289</v>
      </c>
      <c r="F318" s="40"/>
      <c r="G318" s="6">
        <f>G319</f>
        <v>0</v>
      </c>
      <c r="H318" s="6">
        <f>H319</f>
        <v>0</v>
      </c>
    </row>
    <row r="319" spans="1:8" ht="15.75" hidden="1" x14ac:dyDescent="0.25">
      <c r="A319" s="25" t="s">
        <v>290</v>
      </c>
      <c r="B319" s="20" t="s">
        <v>1034</v>
      </c>
      <c r="C319" s="40" t="s">
        <v>280</v>
      </c>
      <c r="D319" s="40" t="s">
        <v>229</v>
      </c>
      <c r="E319" s="40" t="s">
        <v>291</v>
      </c>
      <c r="F319" s="40"/>
      <c r="G319" s="6">
        <f>'пр.5.1.ведом.21-22'!G657</f>
        <v>0</v>
      </c>
      <c r="H319" s="6">
        <f>'пр.5.1.ведом.21-22'!H657</f>
        <v>0</v>
      </c>
    </row>
    <row r="320" spans="1:8" ht="31.5" hidden="1" x14ac:dyDescent="0.25">
      <c r="A320" s="29" t="s">
        <v>419</v>
      </c>
      <c r="B320" s="20" t="s">
        <v>1034</v>
      </c>
      <c r="C320" s="40" t="s">
        <v>280</v>
      </c>
      <c r="D320" s="40" t="s">
        <v>229</v>
      </c>
      <c r="E320" s="40" t="s">
        <v>291</v>
      </c>
      <c r="F320" s="40" t="s">
        <v>653</v>
      </c>
      <c r="G320" s="10">
        <f>G319</f>
        <v>0</v>
      </c>
      <c r="H320" s="10">
        <f>H319</f>
        <v>0</v>
      </c>
    </row>
    <row r="321" spans="1:8" ht="47.25" hidden="1" x14ac:dyDescent="0.25">
      <c r="A321" s="25" t="s">
        <v>294</v>
      </c>
      <c r="B321" s="20" t="s">
        <v>1035</v>
      </c>
      <c r="C321" s="40" t="s">
        <v>280</v>
      </c>
      <c r="D321" s="40" t="s">
        <v>229</v>
      </c>
      <c r="E321" s="40"/>
      <c r="F321" s="40"/>
      <c r="G321" s="6">
        <f t="shared" ref="G321:H322" si="41">G322</f>
        <v>0</v>
      </c>
      <c r="H321" s="6">
        <f t="shared" si="41"/>
        <v>0</v>
      </c>
    </row>
    <row r="322" spans="1:8" ht="47.25" hidden="1" x14ac:dyDescent="0.25">
      <c r="A322" s="25" t="s">
        <v>288</v>
      </c>
      <c r="B322" s="20" t="s">
        <v>1035</v>
      </c>
      <c r="C322" s="40" t="s">
        <v>280</v>
      </c>
      <c r="D322" s="40" t="s">
        <v>229</v>
      </c>
      <c r="E322" s="40" t="s">
        <v>289</v>
      </c>
      <c r="F322" s="40"/>
      <c r="G322" s="6">
        <f t="shared" si="41"/>
        <v>0</v>
      </c>
      <c r="H322" s="6">
        <f t="shared" si="41"/>
        <v>0</v>
      </c>
    </row>
    <row r="323" spans="1:8" ht="15.75" hidden="1" x14ac:dyDescent="0.25">
      <c r="A323" s="25" t="s">
        <v>290</v>
      </c>
      <c r="B323" s="20" t="s">
        <v>1035</v>
      </c>
      <c r="C323" s="40" t="s">
        <v>280</v>
      </c>
      <c r="D323" s="40" t="s">
        <v>229</v>
      </c>
      <c r="E323" s="40" t="s">
        <v>291</v>
      </c>
      <c r="F323" s="40"/>
      <c r="G323" s="6">
        <f>'пр.5.1.ведом.21-22'!G660</f>
        <v>0</v>
      </c>
      <c r="H323" s="6">
        <f>'пр.5.1.ведом.21-22'!H660</f>
        <v>0</v>
      </c>
    </row>
    <row r="324" spans="1:8" ht="31.5" hidden="1" x14ac:dyDescent="0.25">
      <c r="A324" s="29" t="s">
        <v>419</v>
      </c>
      <c r="B324" s="20" t="s">
        <v>1035</v>
      </c>
      <c r="C324" s="40" t="s">
        <v>280</v>
      </c>
      <c r="D324" s="40" t="s">
        <v>229</v>
      </c>
      <c r="E324" s="40" t="s">
        <v>291</v>
      </c>
      <c r="F324" s="40" t="s">
        <v>653</v>
      </c>
      <c r="G324" s="10">
        <f>G323</f>
        <v>0</v>
      </c>
      <c r="H324" s="10">
        <f>H323</f>
        <v>0</v>
      </c>
    </row>
    <row r="325" spans="1:8" ht="31.5" hidden="1" x14ac:dyDescent="0.25">
      <c r="A325" s="25" t="s">
        <v>296</v>
      </c>
      <c r="B325" s="20" t="s">
        <v>1036</v>
      </c>
      <c r="C325" s="40" t="s">
        <v>280</v>
      </c>
      <c r="D325" s="40" t="s">
        <v>229</v>
      </c>
      <c r="E325" s="40"/>
      <c r="F325" s="40"/>
      <c r="G325" s="6">
        <f t="shared" ref="G325:H326" si="42">G326</f>
        <v>0</v>
      </c>
      <c r="H325" s="6">
        <f t="shared" si="42"/>
        <v>0</v>
      </c>
    </row>
    <row r="326" spans="1:8" ht="47.25" hidden="1" x14ac:dyDescent="0.25">
      <c r="A326" s="25" t="s">
        <v>288</v>
      </c>
      <c r="B326" s="20" t="s">
        <v>1036</v>
      </c>
      <c r="C326" s="40" t="s">
        <v>280</v>
      </c>
      <c r="D326" s="40" t="s">
        <v>229</v>
      </c>
      <c r="E326" s="40" t="s">
        <v>289</v>
      </c>
      <c r="F326" s="40"/>
      <c r="G326" s="6">
        <f t="shared" si="42"/>
        <v>0</v>
      </c>
      <c r="H326" s="6">
        <f t="shared" si="42"/>
        <v>0</v>
      </c>
    </row>
    <row r="327" spans="1:8" ht="15.75" hidden="1" x14ac:dyDescent="0.25">
      <c r="A327" s="25" t="s">
        <v>290</v>
      </c>
      <c r="B327" s="20" t="s">
        <v>1036</v>
      </c>
      <c r="C327" s="40" t="s">
        <v>280</v>
      </c>
      <c r="D327" s="40" t="s">
        <v>229</v>
      </c>
      <c r="E327" s="40" t="s">
        <v>291</v>
      </c>
      <c r="F327" s="40"/>
      <c r="G327" s="6">
        <f>'пр.5.1.ведом.21-22'!G663</f>
        <v>0</v>
      </c>
      <c r="H327" s="6">
        <f>'пр.5.1.ведом.21-22'!H663</f>
        <v>0</v>
      </c>
    </row>
    <row r="328" spans="1:8" ht="31.5" hidden="1" x14ac:dyDescent="0.25">
      <c r="A328" s="29" t="s">
        <v>419</v>
      </c>
      <c r="B328" s="20" t="s">
        <v>1036</v>
      </c>
      <c r="C328" s="40" t="s">
        <v>280</v>
      </c>
      <c r="D328" s="40" t="s">
        <v>229</v>
      </c>
      <c r="E328" s="40" t="s">
        <v>291</v>
      </c>
      <c r="F328" s="40" t="s">
        <v>653</v>
      </c>
      <c r="G328" s="10">
        <f>G327</f>
        <v>0</v>
      </c>
      <c r="H328" s="10">
        <f>H327</f>
        <v>0</v>
      </c>
    </row>
    <row r="329" spans="1:8" ht="47.25" x14ac:dyDescent="0.25">
      <c r="A329" s="29" t="s">
        <v>298</v>
      </c>
      <c r="B329" s="20" t="s">
        <v>1037</v>
      </c>
      <c r="C329" s="40" t="s">
        <v>280</v>
      </c>
      <c r="D329" s="40" t="s">
        <v>229</v>
      </c>
      <c r="E329" s="40"/>
      <c r="F329" s="40"/>
      <c r="G329" s="10">
        <f t="shared" ref="G329:H330" si="43">G330</f>
        <v>224</v>
      </c>
      <c r="H329" s="10">
        <f t="shared" si="43"/>
        <v>224</v>
      </c>
    </row>
    <row r="330" spans="1:8" ht="47.25" x14ac:dyDescent="0.25">
      <c r="A330" s="29" t="s">
        <v>288</v>
      </c>
      <c r="B330" s="20" t="s">
        <v>1037</v>
      </c>
      <c r="C330" s="40" t="s">
        <v>280</v>
      </c>
      <c r="D330" s="40" t="s">
        <v>229</v>
      </c>
      <c r="E330" s="40" t="s">
        <v>289</v>
      </c>
      <c r="F330" s="40"/>
      <c r="G330" s="10">
        <f t="shared" si="43"/>
        <v>224</v>
      </c>
      <c r="H330" s="10">
        <f t="shared" si="43"/>
        <v>224</v>
      </c>
    </row>
    <row r="331" spans="1:8" ht="15.75" x14ac:dyDescent="0.25">
      <c r="A331" s="29" t="s">
        <v>290</v>
      </c>
      <c r="B331" s="20" t="s">
        <v>1037</v>
      </c>
      <c r="C331" s="40" t="s">
        <v>280</v>
      </c>
      <c r="D331" s="40" t="s">
        <v>229</v>
      </c>
      <c r="E331" s="40" t="s">
        <v>291</v>
      </c>
      <c r="F331" s="40"/>
      <c r="G331" s="10">
        <f>'пр.5.1.ведом.21-22'!G666</f>
        <v>224</v>
      </c>
      <c r="H331" s="10">
        <f>'пр.5.1.ведом.21-22'!H666</f>
        <v>224</v>
      </c>
    </row>
    <row r="332" spans="1:8" ht="31.5" x14ac:dyDescent="0.25">
      <c r="A332" s="29" t="s">
        <v>419</v>
      </c>
      <c r="B332" s="20" t="s">
        <v>1037</v>
      </c>
      <c r="C332" s="40" t="s">
        <v>280</v>
      </c>
      <c r="D332" s="40" t="s">
        <v>229</v>
      </c>
      <c r="E332" s="40" t="s">
        <v>291</v>
      </c>
      <c r="F332" s="40" t="s">
        <v>653</v>
      </c>
      <c r="G332" s="10">
        <f>G331</f>
        <v>224</v>
      </c>
      <c r="H332" s="10">
        <f>H331</f>
        <v>224</v>
      </c>
    </row>
    <row r="333" spans="1:8" ht="47.25" x14ac:dyDescent="0.25">
      <c r="A333" s="23" t="s">
        <v>1031</v>
      </c>
      <c r="B333" s="24" t="s">
        <v>1032</v>
      </c>
      <c r="C333" s="7"/>
      <c r="D333" s="7"/>
      <c r="E333" s="7"/>
      <c r="F333" s="7"/>
      <c r="G333" s="59">
        <f>G336+G340</f>
        <v>3943.4</v>
      </c>
      <c r="H333" s="59">
        <f>H336+H340</f>
        <v>3951.9</v>
      </c>
    </row>
    <row r="334" spans="1:8" ht="15.75" x14ac:dyDescent="0.25">
      <c r="A334" s="29" t="s">
        <v>279</v>
      </c>
      <c r="B334" s="40" t="s">
        <v>1032</v>
      </c>
      <c r="C334" s="40" t="s">
        <v>280</v>
      </c>
      <c r="D334" s="40"/>
      <c r="E334" s="40"/>
      <c r="F334" s="40"/>
      <c r="G334" s="10">
        <f t="shared" ref="G334:H334" si="44">G335</f>
        <v>3943.4</v>
      </c>
      <c r="H334" s="10">
        <f t="shared" si="44"/>
        <v>3951.9</v>
      </c>
    </row>
    <row r="335" spans="1:8" ht="15.75" x14ac:dyDescent="0.25">
      <c r="A335" s="29" t="s">
        <v>441</v>
      </c>
      <c r="B335" s="40" t="s">
        <v>1032</v>
      </c>
      <c r="C335" s="40" t="s">
        <v>280</v>
      </c>
      <c r="D335" s="40" t="s">
        <v>229</v>
      </c>
      <c r="E335" s="40"/>
      <c r="F335" s="40"/>
      <c r="G335" s="10">
        <f>G336+G340</f>
        <v>3943.4</v>
      </c>
      <c r="H335" s="10">
        <f>H336+H340</f>
        <v>3951.9</v>
      </c>
    </row>
    <row r="336" spans="1:8" ht="47.25" x14ac:dyDescent="0.25">
      <c r="A336" s="29" t="s">
        <v>619</v>
      </c>
      <c r="B336" s="20" t="s">
        <v>1038</v>
      </c>
      <c r="C336" s="40" t="s">
        <v>280</v>
      </c>
      <c r="D336" s="40" t="s">
        <v>229</v>
      </c>
      <c r="E336" s="40"/>
      <c r="F336" s="40"/>
      <c r="G336" s="10">
        <f t="shared" ref="G336:H337" si="45">G337</f>
        <v>2200</v>
      </c>
      <c r="H336" s="10">
        <f t="shared" si="45"/>
        <v>2200</v>
      </c>
    </row>
    <row r="337" spans="1:8" ht="47.25" x14ac:dyDescent="0.25">
      <c r="A337" s="29" t="s">
        <v>288</v>
      </c>
      <c r="B337" s="20" t="s">
        <v>1038</v>
      </c>
      <c r="C337" s="40" t="s">
        <v>280</v>
      </c>
      <c r="D337" s="40" t="s">
        <v>229</v>
      </c>
      <c r="E337" s="40" t="s">
        <v>289</v>
      </c>
      <c r="F337" s="40"/>
      <c r="G337" s="10">
        <f t="shared" si="45"/>
        <v>2200</v>
      </c>
      <c r="H337" s="10">
        <f t="shared" si="45"/>
        <v>2200</v>
      </c>
    </row>
    <row r="338" spans="1:8" ht="15.75" x14ac:dyDescent="0.25">
      <c r="A338" s="29" t="s">
        <v>290</v>
      </c>
      <c r="B338" s="20" t="s">
        <v>1038</v>
      </c>
      <c r="C338" s="40" t="s">
        <v>280</v>
      </c>
      <c r="D338" s="40" t="s">
        <v>229</v>
      </c>
      <c r="E338" s="40" t="s">
        <v>291</v>
      </c>
      <c r="F338" s="40"/>
      <c r="G338" s="6">
        <f>'пр.5.1.ведом.21-22'!G670</f>
        <v>2200</v>
      </c>
      <c r="H338" s="6">
        <f>'пр.5.1.ведом.21-22'!H670</f>
        <v>2200</v>
      </c>
    </row>
    <row r="339" spans="1:8" ht="31.5" x14ac:dyDescent="0.25">
      <c r="A339" s="29" t="s">
        <v>419</v>
      </c>
      <c r="B339" s="20" t="s">
        <v>1038</v>
      </c>
      <c r="C339" s="40" t="s">
        <v>280</v>
      </c>
      <c r="D339" s="40" t="s">
        <v>229</v>
      </c>
      <c r="E339" s="40" t="s">
        <v>291</v>
      </c>
      <c r="F339" s="40" t="s">
        <v>653</v>
      </c>
      <c r="G339" s="10">
        <f>G338</f>
        <v>2200</v>
      </c>
      <c r="H339" s="10">
        <f>H338</f>
        <v>2200</v>
      </c>
    </row>
    <row r="340" spans="1:8" ht="31.5" x14ac:dyDescent="0.25">
      <c r="A340" s="25" t="s">
        <v>472</v>
      </c>
      <c r="B340" s="20" t="s">
        <v>1039</v>
      </c>
      <c r="C340" s="40" t="s">
        <v>280</v>
      </c>
      <c r="D340" s="40" t="s">
        <v>229</v>
      </c>
      <c r="E340" s="40"/>
      <c r="F340" s="40"/>
      <c r="G340" s="10">
        <f>G341</f>
        <v>1743.4</v>
      </c>
      <c r="H340" s="10">
        <f>H341</f>
        <v>1751.9</v>
      </c>
    </row>
    <row r="341" spans="1:8" ht="47.25" x14ac:dyDescent="0.25">
      <c r="A341" s="25" t="s">
        <v>288</v>
      </c>
      <c r="B341" s="20" t="s">
        <v>1039</v>
      </c>
      <c r="C341" s="40" t="s">
        <v>280</v>
      </c>
      <c r="D341" s="40" t="s">
        <v>229</v>
      </c>
      <c r="E341" s="40" t="s">
        <v>289</v>
      </c>
      <c r="F341" s="40"/>
      <c r="G341" s="10">
        <f>G342</f>
        <v>1743.4</v>
      </c>
      <c r="H341" s="10">
        <f>H342</f>
        <v>1751.9</v>
      </c>
    </row>
    <row r="342" spans="1:8" ht="15.75" x14ac:dyDescent="0.25">
      <c r="A342" s="25" t="s">
        <v>290</v>
      </c>
      <c r="B342" s="20" t="s">
        <v>1039</v>
      </c>
      <c r="C342" s="40" t="s">
        <v>280</v>
      </c>
      <c r="D342" s="40" t="s">
        <v>229</v>
      </c>
      <c r="E342" s="40" t="s">
        <v>291</v>
      </c>
      <c r="F342" s="40"/>
      <c r="G342" s="10">
        <f>'пр.5.1.ведом.21-22'!G673</f>
        <v>1743.4</v>
      </c>
      <c r="H342" s="10">
        <f>'пр.5.1.ведом.21-22'!H673</f>
        <v>1751.9</v>
      </c>
    </row>
    <row r="343" spans="1:8" ht="31.5" x14ac:dyDescent="0.25">
      <c r="A343" s="29" t="s">
        <v>419</v>
      </c>
      <c r="B343" s="20" t="s">
        <v>1039</v>
      </c>
      <c r="C343" s="40" t="s">
        <v>280</v>
      </c>
      <c r="D343" s="40" t="s">
        <v>229</v>
      </c>
      <c r="E343" s="40" t="s">
        <v>291</v>
      </c>
      <c r="F343" s="40" t="s">
        <v>653</v>
      </c>
      <c r="G343" s="10">
        <f>G342</f>
        <v>1743.4</v>
      </c>
      <c r="H343" s="10">
        <f>H342</f>
        <v>1751.9</v>
      </c>
    </row>
    <row r="344" spans="1:8" ht="31.5" x14ac:dyDescent="0.25">
      <c r="A344" s="23" t="s">
        <v>1033</v>
      </c>
      <c r="B344" s="24" t="s">
        <v>1040</v>
      </c>
      <c r="C344" s="7"/>
      <c r="D344" s="7"/>
      <c r="E344" s="7"/>
      <c r="F344" s="7"/>
      <c r="G344" s="59">
        <f>G347+G351</f>
        <v>1364.7</v>
      </c>
      <c r="H344" s="59">
        <f>H347+H351</f>
        <v>1364.7</v>
      </c>
    </row>
    <row r="345" spans="1:8" ht="15.75" x14ac:dyDescent="0.25">
      <c r="A345" s="29" t="s">
        <v>279</v>
      </c>
      <c r="B345" s="40" t="s">
        <v>1040</v>
      </c>
      <c r="C345" s="40" t="s">
        <v>280</v>
      </c>
      <c r="D345" s="40"/>
      <c r="E345" s="40"/>
      <c r="F345" s="40"/>
      <c r="G345" s="10">
        <f t="shared" ref="G345:H345" si="46">G346</f>
        <v>1364.7</v>
      </c>
      <c r="H345" s="10">
        <f t="shared" si="46"/>
        <v>1364.7</v>
      </c>
    </row>
    <row r="346" spans="1:8" ht="15.75" x14ac:dyDescent="0.25">
      <c r="A346" s="29" t="s">
        <v>441</v>
      </c>
      <c r="B346" s="40" t="s">
        <v>1040</v>
      </c>
      <c r="C346" s="40" t="s">
        <v>280</v>
      </c>
      <c r="D346" s="40" t="s">
        <v>229</v>
      </c>
      <c r="E346" s="40"/>
      <c r="F346" s="40"/>
      <c r="G346" s="10">
        <f>G347+G351</f>
        <v>1364.7</v>
      </c>
      <c r="H346" s="10">
        <f>H347+H351</f>
        <v>1364.7</v>
      </c>
    </row>
    <row r="347" spans="1:8" ht="63" x14ac:dyDescent="0.25">
      <c r="A347" s="25" t="s">
        <v>454</v>
      </c>
      <c r="B347" s="20" t="s">
        <v>1041</v>
      </c>
      <c r="C347" s="40" t="s">
        <v>280</v>
      </c>
      <c r="D347" s="40" t="s">
        <v>229</v>
      </c>
      <c r="E347" s="40"/>
      <c r="F347" s="40"/>
      <c r="G347" s="10">
        <f>G348</f>
        <v>868</v>
      </c>
      <c r="H347" s="10">
        <f>H348</f>
        <v>868</v>
      </c>
    </row>
    <row r="348" spans="1:8" ht="47.25" x14ac:dyDescent="0.25">
      <c r="A348" s="25" t="s">
        <v>288</v>
      </c>
      <c r="B348" s="20" t="s">
        <v>1041</v>
      </c>
      <c r="C348" s="40" t="s">
        <v>280</v>
      </c>
      <c r="D348" s="40" t="s">
        <v>229</v>
      </c>
      <c r="E348" s="40" t="s">
        <v>289</v>
      </c>
      <c r="F348" s="40"/>
      <c r="G348" s="10">
        <f>G349</f>
        <v>868</v>
      </c>
      <c r="H348" s="10">
        <f>H349</f>
        <v>868</v>
      </c>
    </row>
    <row r="349" spans="1:8" ht="15.75" x14ac:dyDescent="0.25">
      <c r="A349" s="25" t="s">
        <v>290</v>
      </c>
      <c r="B349" s="20" t="s">
        <v>1041</v>
      </c>
      <c r="C349" s="40" t="s">
        <v>280</v>
      </c>
      <c r="D349" s="40" t="s">
        <v>229</v>
      </c>
      <c r="E349" s="40" t="s">
        <v>291</v>
      </c>
      <c r="F349" s="40"/>
      <c r="G349" s="10">
        <f>'пр.5.1.ведом.21-22'!G677</f>
        <v>868</v>
      </c>
      <c r="H349" s="10">
        <f>'пр.5.1.ведом.21-22'!H677</f>
        <v>868</v>
      </c>
    </row>
    <row r="350" spans="1:8" ht="31.5" x14ac:dyDescent="0.25">
      <c r="A350" s="29" t="s">
        <v>419</v>
      </c>
      <c r="B350" s="20" t="s">
        <v>1041</v>
      </c>
      <c r="C350" s="40" t="s">
        <v>280</v>
      </c>
      <c r="D350" s="40" t="s">
        <v>229</v>
      </c>
      <c r="E350" s="40" t="s">
        <v>291</v>
      </c>
      <c r="F350" s="40" t="s">
        <v>653</v>
      </c>
      <c r="G350" s="10">
        <f>G349</f>
        <v>868</v>
      </c>
      <c r="H350" s="10">
        <f>H349</f>
        <v>868</v>
      </c>
    </row>
    <row r="351" spans="1:8" ht="47.25" x14ac:dyDescent="0.25">
      <c r="A351" s="25" t="s">
        <v>474</v>
      </c>
      <c r="B351" s="20" t="s">
        <v>1042</v>
      </c>
      <c r="C351" s="40" t="s">
        <v>280</v>
      </c>
      <c r="D351" s="40" t="s">
        <v>229</v>
      </c>
      <c r="E351" s="40"/>
      <c r="F351" s="40"/>
      <c r="G351" s="10">
        <f>G352</f>
        <v>496.7</v>
      </c>
      <c r="H351" s="10">
        <f>H352</f>
        <v>496.7</v>
      </c>
    </row>
    <row r="352" spans="1:8" ht="47.25" x14ac:dyDescent="0.25">
      <c r="A352" s="273" t="s">
        <v>288</v>
      </c>
      <c r="B352" s="20" t="s">
        <v>1042</v>
      </c>
      <c r="C352" s="40" t="s">
        <v>280</v>
      </c>
      <c r="D352" s="40" t="s">
        <v>229</v>
      </c>
      <c r="E352" s="40" t="s">
        <v>289</v>
      </c>
      <c r="F352" s="40"/>
      <c r="G352" s="10">
        <f>G353</f>
        <v>496.7</v>
      </c>
      <c r="H352" s="10">
        <f>H353</f>
        <v>496.7</v>
      </c>
    </row>
    <row r="353" spans="1:8" ht="15.75" x14ac:dyDescent="0.25">
      <c r="A353" s="25" t="s">
        <v>290</v>
      </c>
      <c r="B353" s="20" t="s">
        <v>1042</v>
      </c>
      <c r="C353" s="40" t="s">
        <v>280</v>
      </c>
      <c r="D353" s="40" t="s">
        <v>229</v>
      </c>
      <c r="E353" s="40" t="s">
        <v>291</v>
      </c>
      <c r="F353" s="40"/>
      <c r="G353" s="10">
        <f>'пр.5.1.ведом.21-22'!G680</f>
        <v>496.7</v>
      </c>
      <c r="H353" s="10">
        <f>'пр.5.1.ведом.21-22'!H680</f>
        <v>496.7</v>
      </c>
    </row>
    <row r="354" spans="1:8" ht="31.5" x14ac:dyDescent="0.25">
      <c r="A354" s="29" t="s">
        <v>419</v>
      </c>
      <c r="B354" s="20" t="s">
        <v>1042</v>
      </c>
      <c r="C354" s="40" t="s">
        <v>280</v>
      </c>
      <c r="D354" s="40" t="s">
        <v>229</v>
      </c>
      <c r="E354" s="40" t="s">
        <v>291</v>
      </c>
      <c r="F354" s="40" t="s">
        <v>653</v>
      </c>
      <c r="G354" s="10">
        <f>G353</f>
        <v>496.7</v>
      </c>
      <c r="H354" s="10">
        <f>H353</f>
        <v>496.7</v>
      </c>
    </row>
    <row r="355" spans="1:8" ht="47.25" x14ac:dyDescent="0.25">
      <c r="A355" s="231" t="s">
        <v>1077</v>
      </c>
      <c r="B355" s="24" t="s">
        <v>1043</v>
      </c>
      <c r="C355" s="7"/>
      <c r="D355" s="7"/>
      <c r="E355" s="7"/>
      <c r="F355" s="7"/>
      <c r="G355" s="59">
        <f>G358+G362</f>
        <v>2634</v>
      </c>
      <c r="H355" s="59">
        <f>H358+H362</f>
        <v>2634</v>
      </c>
    </row>
    <row r="356" spans="1:8" ht="15.75" x14ac:dyDescent="0.25">
      <c r="A356" s="29" t="s">
        <v>279</v>
      </c>
      <c r="B356" s="40" t="s">
        <v>1043</v>
      </c>
      <c r="C356" s="40" t="s">
        <v>280</v>
      </c>
      <c r="D356" s="40"/>
      <c r="E356" s="40"/>
      <c r="F356" s="40"/>
      <c r="G356" s="10">
        <f t="shared" ref="G356:H356" si="47">G357</f>
        <v>2634</v>
      </c>
      <c r="H356" s="10">
        <f t="shared" si="47"/>
        <v>2634</v>
      </c>
    </row>
    <row r="357" spans="1:8" ht="15.75" x14ac:dyDescent="0.25">
      <c r="A357" s="29" t="s">
        <v>441</v>
      </c>
      <c r="B357" s="40" t="s">
        <v>1043</v>
      </c>
      <c r="C357" s="40" t="s">
        <v>280</v>
      </c>
      <c r="D357" s="40" t="s">
        <v>229</v>
      </c>
      <c r="E357" s="40"/>
      <c r="F357" s="40"/>
      <c r="G357" s="10">
        <f>G358+G362</f>
        <v>2634</v>
      </c>
      <c r="H357" s="10">
        <f>H358+H362</f>
        <v>2634</v>
      </c>
    </row>
    <row r="358" spans="1:8" ht="31.5" hidden="1" x14ac:dyDescent="0.25">
      <c r="A358" s="29" t="s">
        <v>300</v>
      </c>
      <c r="B358" s="20" t="s">
        <v>1045</v>
      </c>
      <c r="C358" s="40" t="s">
        <v>280</v>
      </c>
      <c r="D358" s="40" t="s">
        <v>229</v>
      </c>
      <c r="E358" s="40"/>
      <c r="F358" s="40"/>
      <c r="G358" s="10">
        <f t="shared" ref="G358:H359" si="48">G359</f>
        <v>0</v>
      </c>
      <c r="H358" s="10">
        <f t="shared" si="48"/>
        <v>0</v>
      </c>
    </row>
    <row r="359" spans="1:8" ht="47.25" hidden="1" x14ac:dyDescent="0.25">
      <c r="A359" s="29" t="s">
        <v>288</v>
      </c>
      <c r="B359" s="20" t="s">
        <v>1045</v>
      </c>
      <c r="C359" s="40" t="s">
        <v>280</v>
      </c>
      <c r="D359" s="40" t="s">
        <v>229</v>
      </c>
      <c r="E359" s="40" t="s">
        <v>289</v>
      </c>
      <c r="F359" s="40"/>
      <c r="G359" s="10">
        <f t="shared" si="48"/>
        <v>0</v>
      </c>
      <c r="H359" s="10">
        <f t="shared" si="48"/>
        <v>0</v>
      </c>
    </row>
    <row r="360" spans="1:8" ht="15.75" hidden="1" x14ac:dyDescent="0.25">
      <c r="A360" s="29" t="s">
        <v>290</v>
      </c>
      <c r="B360" s="20" t="s">
        <v>1045</v>
      </c>
      <c r="C360" s="40" t="s">
        <v>280</v>
      </c>
      <c r="D360" s="40" t="s">
        <v>229</v>
      </c>
      <c r="E360" s="40" t="s">
        <v>291</v>
      </c>
      <c r="F360" s="40"/>
      <c r="G360" s="10">
        <f>'пр.5.1.ведом.21-22'!G684</f>
        <v>0</v>
      </c>
      <c r="H360" s="10">
        <f>'пр.5.1.ведом.21-22'!H684</f>
        <v>0</v>
      </c>
    </row>
    <row r="361" spans="1:8" ht="31.5" hidden="1" x14ac:dyDescent="0.25">
      <c r="A361" s="29" t="s">
        <v>419</v>
      </c>
      <c r="B361" s="20" t="s">
        <v>1045</v>
      </c>
      <c r="C361" s="40" t="s">
        <v>280</v>
      </c>
      <c r="D361" s="40" t="s">
        <v>229</v>
      </c>
      <c r="E361" s="40" t="s">
        <v>291</v>
      </c>
      <c r="F361" s="40" t="s">
        <v>653</v>
      </c>
      <c r="G361" s="10">
        <f>G360</f>
        <v>0</v>
      </c>
      <c r="H361" s="10">
        <f>H360</f>
        <v>0</v>
      </c>
    </row>
    <row r="362" spans="1:8" ht="47.25" x14ac:dyDescent="0.25">
      <c r="A362" s="60" t="s">
        <v>787</v>
      </c>
      <c r="B362" s="20" t="s">
        <v>1046</v>
      </c>
      <c r="C362" s="40" t="s">
        <v>280</v>
      </c>
      <c r="D362" s="40" t="s">
        <v>229</v>
      </c>
      <c r="E362" s="40"/>
      <c r="F362" s="40"/>
      <c r="G362" s="10">
        <f t="shared" ref="G362:H363" si="49">G363</f>
        <v>2634</v>
      </c>
      <c r="H362" s="10">
        <f t="shared" si="49"/>
        <v>2634</v>
      </c>
    </row>
    <row r="363" spans="1:8" ht="47.25" x14ac:dyDescent="0.25">
      <c r="A363" s="29" t="s">
        <v>288</v>
      </c>
      <c r="B363" s="20" t="s">
        <v>1046</v>
      </c>
      <c r="C363" s="40" t="s">
        <v>280</v>
      </c>
      <c r="D363" s="40" t="s">
        <v>229</v>
      </c>
      <c r="E363" s="40" t="s">
        <v>289</v>
      </c>
      <c r="F363" s="40"/>
      <c r="G363" s="10">
        <f t="shared" si="49"/>
        <v>2634</v>
      </c>
      <c r="H363" s="10">
        <f t="shared" si="49"/>
        <v>2634</v>
      </c>
    </row>
    <row r="364" spans="1:8" ht="15.75" x14ac:dyDescent="0.25">
      <c r="A364" s="192" t="s">
        <v>290</v>
      </c>
      <c r="B364" s="20" t="s">
        <v>1046</v>
      </c>
      <c r="C364" s="40" t="s">
        <v>280</v>
      </c>
      <c r="D364" s="40" t="s">
        <v>229</v>
      </c>
      <c r="E364" s="40" t="s">
        <v>291</v>
      </c>
      <c r="F364" s="40"/>
      <c r="G364" s="10">
        <f>'пр.5.1.ведом.21-22'!G687</f>
        <v>2634</v>
      </c>
      <c r="H364" s="10">
        <f>'пр.5.1.ведом.21-22'!H687</f>
        <v>2634</v>
      </c>
    </row>
    <row r="365" spans="1:8" ht="31.5" x14ac:dyDescent="0.25">
      <c r="A365" s="29" t="s">
        <v>419</v>
      </c>
      <c r="B365" s="20" t="s">
        <v>1046</v>
      </c>
      <c r="C365" s="40" t="s">
        <v>280</v>
      </c>
      <c r="D365" s="40" t="s">
        <v>229</v>
      </c>
      <c r="E365" s="40" t="s">
        <v>291</v>
      </c>
      <c r="F365" s="40" t="s">
        <v>653</v>
      </c>
      <c r="G365" s="10">
        <f>G364</f>
        <v>2634</v>
      </c>
      <c r="H365" s="10">
        <f>H364</f>
        <v>2634</v>
      </c>
    </row>
    <row r="366" spans="1:8" ht="47.25" x14ac:dyDescent="0.25">
      <c r="A366" s="229" t="s">
        <v>1048</v>
      </c>
      <c r="B366" s="24" t="s">
        <v>1044</v>
      </c>
      <c r="C366" s="7"/>
      <c r="D366" s="7"/>
      <c r="E366" s="7"/>
      <c r="F366" s="7"/>
      <c r="G366" s="59">
        <f>G369</f>
        <v>678</v>
      </c>
      <c r="H366" s="59">
        <f>H369</f>
        <v>678</v>
      </c>
    </row>
    <row r="367" spans="1:8" ht="15.75" x14ac:dyDescent="0.25">
      <c r="A367" s="29" t="s">
        <v>279</v>
      </c>
      <c r="B367" s="40" t="s">
        <v>1044</v>
      </c>
      <c r="C367" s="40" t="s">
        <v>280</v>
      </c>
      <c r="D367" s="40"/>
      <c r="E367" s="40"/>
      <c r="F367" s="40"/>
      <c r="G367" s="10">
        <f t="shared" ref="G367:H367" si="50">G368</f>
        <v>678</v>
      </c>
      <c r="H367" s="10">
        <f t="shared" si="50"/>
        <v>678</v>
      </c>
    </row>
    <row r="368" spans="1:8" ht="15.75" x14ac:dyDescent="0.25">
      <c r="A368" s="29" t="s">
        <v>441</v>
      </c>
      <c r="B368" s="40" t="s">
        <v>1044</v>
      </c>
      <c r="C368" s="40" t="s">
        <v>280</v>
      </c>
      <c r="D368" s="40" t="s">
        <v>229</v>
      </c>
      <c r="E368" s="40"/>
      <c r="F368" s="40"/>
      <c r="G368" s="10">
        <f t="shared" ref="G368:H370" si="51">G369</f>
        <v>678</v>
      </c>
      <c r="H368" s="10">
        <f t="shared" si="51"/>
        <v>678</v>
      </c>
    </row>
    <row r="369" spans="1:8" ht="63" x14ac:dyDescent="0.25">
      <c r="A369" s="192" t="s">
        <v>874</v>
      </c>
      <c r="B369" s="20" t="s">
        <v>1047</v>
      </c>
      <c r="C369" s="40" t="s">
        <v>280</v>
      </c>
      <c r="D369" s="40" t="s">
        <v>229</v>
      </c>
      <c r="E369" s="40"/>
      <c r="F369" s="40"/>
      <c r="G369" s="10">
        <f t="shared" si="51"/>
        <v>678</v>
      </c>
      <c r="H369" s="10">
        <f t="shared" si="51"/>
        <v>678</v>
      </c>
    </row>
    <row r="370" spans="1:8" ht="47.25" x14ac:dyDescent="0.25">
      <c r="A370" s="29" t="s">
        <v>288</v>
      </c>
      <c r="B370" s="20" t="s">
        <v>1047</v>
      </c>
      <c r="C370" s="40" t="s">
        <v>280</v>
      </c>
      <c r="D370" s="40" t="s">
        <v>229</v>
      </c>
      <c r="E370" s="40" t="s">
        <v>289</v>
      </c>
      <c r="F370" s="40"/>
      <c r="G370" s="10">
        <f t="shared" si="51"/>
        <v>678</v>
      </c>
      <c r="H370" s="10">
        <f t="shared" si="51"/>
        <v>678</v>
      </c>
    </row>
    <row r="371" spans="1:8" ht="15.75" x14ac:dyDescent="0.25">
      <c r="A371" s="192" t="s">
        <v>290</v>
      </c>
      <c r="B371" s="20" t="s">
        <v>1047</v>
      </c>
      <c r="C371" s="40" t="s">
        <v>280</v>
      </c>
      <c r="D371" s="40" t="s">
        <v>229</v>
      </c>
      <c r="E371" s="40" t="s">
        <v>291</v>
      </c>
      <c r="F371" s="40"/>
      <c r="G371" s="10">
        <f>'пр.5.1.ведом.21-22'!G691</f>
        <v>678</v>
      </c>
      <c r="H371" s="10">
        <f>'пр.5.1.ведом.21-22'!H691</f>
        <v>678</v>
      </c>
    </row>
    <row r="372" spans="1:8" ht="31.5" x14ac:dyDescent="0.25">
      <c r="A372" s="29" t="s">
        <v>419</v>
      </c>
      <c r="B372" s="20" t="s">
        <v>1047</v>
      </c>
      <c r="C372" s="40" t="s">
        <v>280</v>
      </c>
      <c r="D372" s="40" t="s">
        <v>229</v>
      </c>
      <c r="E372" s="40" t="s">
        <v>291</v>
      </c>
      <c r="F372" s="40" t="s">
        <v>653</v>
      </c>
      <c r="G372" s="10">
        <f>G371</f>
        <v>678</v>
      </c>
      <c r="H372" s="10">
        <f>H371</f>
        <v>678</v>
      </c>
    </row>
    <row r="373" spans="1:8" ht="47.25" x14ac:dyDescent="0.25">
      <c r="A373" s="41" t="s">
        <v>462</v>
      </c>
      <c r="B373" s="7" t="s">
        <v>463</v>
      </c>
      <c r="C373" s="7"/>
      <c r="D373" s="7"/>
      <c r="E373" s="7"/>
      <c r="F373" s="7"/>
      <c r="G373" s="59">
        <f t="shared" ref="G373:H373" si="52">G375</f>
        <v>689</v>
      </c>
      <c r="H373" s="59">
        <f t="shared" si="52"/>
        <v>689</v>
      </c>
    </row>
    <row r="374" spans="1:8" ht="47.25" x14ac:dyDescent="0.25">
      <c r="A374" s="231" t="s">
        <v>1077</v>
      </c>
      <c r="B374" s="24" t="s">
        <v>1053</v>
      </c>
      <c r="C374" s="7"/>
      <c r="D374" s="7"/>
      <c r="E374" s="7"/>
      <c r="F374" s="7"/>
      <c r="G374" s="59">
        <f>G375</f>
        <v>689</v>
      </c>
      <c r="H374" s="59">
        <f>H375</f>
        <v>689</v>
      </c>
    </row>
    <row r="375" spans="1:8" ht="15.75" x14ac:dyDescent="0.25">
      <c r="A375" s="29" t="s">
        <v>279</v>
      </c>
      <c r="B375" s="40" t="s">
        <v>1053</v>
      </c>
      <c r="C375" s="40" t="s">
        <v>280</v>
      </c>
      <c r="D375" s="40"/>
      <c r="E375" s="40"/>
      <c r="F375" s="40"/>
      <c r="G375" s="10">
        <f t="shared" ref="G375:H375" si="53">G376</f>
        <v>689</v>
      </c>
      <c r="H375" s="10">
        <f t="shared" si="53"/>
        <v>689</v>
      </c>
    </row>
    <row r="376" spans="1:8" ht="15.75" x14ac:dyDescent="0.25">
      <c r="A376" s="29" t="s">
        <v>281</v>
      </c>
      <c r="B376" s="40" t="s">
        <v>1053</v>
      </c>
      <c r="C376" s="40" t="s">
        <v>280</v>
      </c>
      <c r="D376" s="40" t="s">
        <v>231</v>
      </c>
      <c r="E376" s="40"/>
      <c r="F376" s="40"/>
      <c r="G376" s="10">
        <f>G377</f>
        <v>689</v>
      </c>
      <c r="H376" s="10">
        <f>H377</f>
        <v>689</v>
      </c>
    </row>
    <row r="377" spans="1:8" ht="47.25" x14ac:dyDescent="0.25">
      <c r="A377" s="45" t="s">
        <v>787</v>
      </c>
      <c r="B377" s="20" t="s">
        <v>1054</v>
      </c>
      <c r="C377" s="20" t="s">
        <v>280</v>
      </c>
      <c r="D377" s="20" t="s">
        <v>231</v>
      </c>
      <c r="E377" s="20"/>
      <c r="F377" s="20"/>
      <c r="G377" s="10">
        <f t="shared" ref="G377:H378" si="54">G378</f>
        <v>689</v>
      </c>
      <c r="H377" s="10">
        <f t="shared" si="54"/>
        <v>689</v>
      </c>
    </row>
    <row r="378" spans="1:8" ht="47.25" x14ac:dyDescent="0.25">
      <c r="A378" s="29" t="s">
        <v>288</v>
      </c>
      <c r="B378" s="20" t="s">
        <v>1054</v>
      </c>
      <c r="C378" s="20" t="s">
        <v>280</v>
      </c>
      <c r="D378" s="20" t="s">
        <v>231</v>
      </c>
      <c r="E378" s="20" t="s">
        <v>289</v>
      </c>
      <c r="F378" s="20"/>
      <c r="G378" s="10">
        <f t="shared" si="54"/>
        <v>689</v>
      </c>
      <c r="H378" s="10">
        <f t="shared" si="54"/>
        <v>689</v>
      </c>
    </row>
    <row r="379" spans="1:8" ht="15.75" x14ac:dyDescent="0.25">
      <c r="A379" s="31" t="s">
        <v>290</v>
      </c>
      <c r="B379" s="20" t="s">
        <v>1054</v>
      </c>
      <c r="C379" s="20" t="s">
        <v>280</v>
      </c>
      <c r="D379" s="20" t="s">
        <v>231</v>
      </c>
      <c r="E379" s="20" t="s">
        <v>291</v>
      </c>
      <c r="F379" s="20"/>
      <c r="G379" s="10">
        <f>'пр.5.1.ведом.21-22'!G730</f>
        <v>689</v>
      </c>
      <c r="H379" s="10">
        <f>'пр.5.1.ведом.21-22'!H730</f>
        <v>689</v>
      </c>
    </row>
    <row r="380" spans="1:8" ht="31.5" x14ac:dyDescent="0.25">
      <c r="A380" s="29" t="s">
        <v>419</v>
      </c>
      <c r="B380" s="20" t="s">
        <v>1054</v>
      </c>
      <c r="C380" s="40" t="s">
        <v>280</v>
      </c>
      <c r="D380" s="40" t="s">
        <v>231</v>
      </c>
      <c r="E380" s="40" t="s">
        <v>291</v>
      </c>
      <c r="F380" s="40" t="s">
        <v>653</v>
      </c>
      <c r="G380" s="10">
        <f>G379</f>
        <v>689</v>
      </c>
      <c r="H380" s="10">
        <f>H379</f>
        <v>689</v>
      </c>
    </row>
    <row r="381" spans="1:8" ht="47.25" x14ac:dyDescent="0.25">
      <c r="A381" s="41" t="s">
        <v>483</v>
      </c>
      <c r="B381" s="7" t="s">
        <v>485</v>
      </c>
      <c r="C381" s="7"/>
      <c r="D381" s="7"/>
      <c r="E381" s="7"/>
      <c r="F381" s="7"/>
      <c r="G381" s="59">
        <f>G382</f>
        <v>5804.9</v>
      </c>
      <c r="H381" s="59">
        <f>H382</f>
        <v>5804.9</v>
      </c>
    </row>
    <row r="382" spans="1:8" ht="31.5" x14ac:dyDescent="0.25">
      <c r="A382" s="23" t="s">
        <v>1056</v>
      </c>
      <c r="B382" s="24" t="s">
        <v>1057</v>
      </c>
      <c r="C382" s="7"/>
      <c r="D382" s="7"/>
      <c r="E382" s="7"/>
      <c r="F382" s="7"/>
      <c r="G382" s="59">
        <f>G383</f>
        <v>5804.9</v>
      </c>
      <c r="H382" s="59">
        <f>H383</f>
        <v>5804.9</v>
      </c>
    </row>
    <row r="383" spans="1:8" ht="15.75" x14ac:dyDescent="0.25">
      <c r="A383" s="29" t="s">
        <v>279</v>
      </c>
      <c r="B383" s="40" t="s">
        <v>1057</v>
      </c>
      <c r="C383" s="40" t="s">
        <v>280</v>
      </c>
      <c r="D383" s="40"/>
      <c r="E383" s="40"/>
      <c r="F383" s="40"/>
      <c r="G383" s="10">
        <f t="shared" ref="G383:H386" si="55">G384</f>
        <v>5804.9</v>
      </c>
      <c r="H383" s="10">
        <f t="shared" si="55"/>
        <v>5804.9</v>
      </c>
    </row>
    <row r="384" spans="1:8" ht="19.5" customHeight="1" x14ac:dyDescent="0.25">
      <c r="A384" s="29" t="s">
        <v>482</v>
      </c>
      <c r="B384" s="40" t="s">
        <v>1057</v>
      </c>
      <c r="C384" s="40" t="s">
        <v>280</v>
      </c>
      <c r="D384" s="40" t="s">
        <v>280</v>
      </c>
      <c r="E384" s="40"/>
      <c r="F384" s="40"/>
      <c r="G384" s="10">
        <f>G385+G389</f>
        <v>5804.9</v>
      </c>
      <c r="H384" s="10">
        <f>H385+H389</f>
        <v>5804.9</v>
      </c>
    </row>
    <row r="385" spans="1:8" ht="47.25" x14ac:dyDescent="0.25">
      <c r="A385" s="31" t="s">
        <v>1235</v>
      </c>
      <c r="B385" s="20" t="s">
        <v>1058</v>
      </c>
      <c r="C385" s="40" t="s">
        <v>280</v>
      </c>
      <c r="D385" s="40" t="s">
        <v>280</v>
      </c>
      <c r="E385" s="40"/>
      <c r="F385" s="40"/>
      <c r="G385" s="10">
        <f t="shared" si="55"/>
        <v>3584</v>
      </c>
      <c r="H385" s="10">
        <f t="shared" si="55"/>
        <v>3584</v>
      </c>
    </row>
    <row r="386" spans="1:8" ht="47.25" x14ac:dyDescent="0.25">
      <c r="A386" s="25" t="s">
        <v>288</v>
      </c>
      <c r="B386" s="20" t="s">
        <v>1058</v>
      </c>
      <c r="C386" s="40" t="s">
        <v>280</v>
      </c>
      <c r="D386" s="40" t="s">
        <v>280</v>
      </c>
      <c r="E386" s="40" t="s">
        <v>289</v>
      </c>
      <c r="F386" s="40"/>
      <c r="G386" s="10">
        <f t="shared" si="55"/>
        <v>3584</v>
      </c>
      <c r="H386" s="10">
        <f t="shared" si="55"/>
        <v>3584</v>
      </c>
    </row>
    <row r="387" spans="1:8" ht="15.75" x14ac:dyDescent="0.25">
      <c r="A387" s="25" t="s">
        <v>290</v>
      </c>
      <c r="B387" s="20" t="s">
        <v>1058</v>
      </c>
      <c r="C387" s="40" t="s">
        <v>280</v>
      </c>
      <c r="D387" s="40" t="s">
        <v>280</v>
      </c>
      <c r="E387" s="40" t="s">
        <v>291</v>
      </c>
      <c r="F387" s="40"/>
      <c r="G387" s="10">
        <f>'пр.5.1.ведом.21-22'!G742</f>
        <v>3584</v>
      </c>
      <c r="H387" s="10">
        <f>'пр.5.1.ведом.21-22'!H742</f>
        <v>3584</v>
      </c>
    </row>
    <row r="388" spans="1:8" ht="31.5" x14ac:dyDescent="0.25">
      <c r="A388" s="29" t="s">
        <v>419</v>
      </c>
      <c r="B388" s="20" t="s">
        <v>1058</v>
      </c>
      <c r="C388" s="40" t="s">
        <v>280</v>
      </c>
      <c r="D388" s="40" t="s">
        <v>280</v>
      </c>
      <c r="E388" s="40" t="s">
        <v>291</v>
      </c>
      <c r="F388" s="40" t="s">
        <v>653</v>
      </c>
      <c r="G388" s="10">
        <f>G387</f>
        <v>3584</v>
      </c>
      <c r="H388" s="10">
        <f>H387</f>
        <v>3584</v>
      </c>
    </row>
    <row r="389" spans="1:8" ht="31.5" x14ac:dyDescent="0.25">
      <c r="A389" s="31" t="s">
        <v>490</v>
      </c>
      <c r="B389" s="20" t="s">
        <v>1059</v>
      </c>
      <c r="C389" s="40" t="s">
        <v>280</v>
      </c>
      <c r="D389" s="40" t="s">
        <v>280</v>
      </c>
      <c r="E389" s="40"/>
      <c r="F389" s="40"/>
      <c r="G389" s="10">
        <f>G390</f>
        <v>2220.9</v>
      </c>
      <c r="H389" s="10">
        <f>H390</f>
        <v>2220.9</v>
      </c>
    </row>
    <row r="390" spans="1:8" ht="47.25" x14ac:dyDescent="0.25">
      <c r="A390" s="25" t="s">
        <v>288</v>
      </c>
      <c r="B390" s="20" t="s">
        <v>1059</v>
      </c>
      <c r="C390" s="40" t="s">
        <v>280</v>
      </c>
      <c r="D390" s="40" t="s">
        <v>280</v>
      </c>
      <c r="E390" s="40" t="s">
        <v>289</v>
      </c>
      <c r="F390" s="40"/>
      <c r="G390" s="10">
        <f>G391</f>
        <v>2220.9</v>
      </c>
      <c r="H390" s="10">
        <f>H391</f>
        <v>2220.9</v>
      </c>
    </row>
    <row r="391" spans="1:8" ht="15.75" x14ac:dyDescent="0.25">
      <c r="A391" s="25" t="s">
        <v>290</v>
      </c>
      <c r="B391" s="20" t="s">
        <v>1059</v>
      </c>
      <c r="C391" s="40" t="s">
        <v>280</v>
      </c>
      <c r="D391" s="40" t="s">
        <v>280</v>
      </c>
      <c r="E391" s="40" t="s">
        <v>291</v>
      </c>
      <c r="F391" s="40"/>
      <c r="G391" s="10">
        <f>'пр.5.1.ведом.21-22'!G745</f>
        <v>2220.9</v>
      </c>
      <c r="H391" s="10">
        <f>'пр.5.1.ведом.21-22'!H745</f>
        <v>2220.9</v>
      </c>
    </row>
    <row r="392" spans="1:8" ht="31.5" x14ac:dyDescent="0.25">
      <c r="A392" s="29" t="s">
        <v>419</v>
      </c>
      <c r="B392" s="20" t="s">
        <v>1059</v>
      </c>
      <c r="C392" s="40" t="s">
        <v>280</v>
      </c>
      <c r="D392" s="40" t="s">
        <v>280</v>
      </c>
      <c r="E392" s="40" t="s">
        <v>291</v>
      </c>
      <c r="F392" s="40" t="s">
        <v>653</v>
      </c>
      <c r="G392" s="10">
        <f>G391</f>
        <v>2220.9</v>
      </c>
      <c r="H392" s="10">
        <f>H391</f>
        <v>2220.9</v>
      </c>
    </row>
    <row r="393" spans="1:8" ht="63" hidden="1" x14ac:dyDescent="0.25">
      <c r="A393" s="58" t="s">
        <v>815</v>
      </c>
      <c r="B393" s="207" t="s">
        <v>172</v>
      </c>
      <c r="C393" s="7"/>
      <c r="D393" s="207"/>
      <c r="E393" s="207"/>
      <c r="F393" s="207"/>
      <c r="G393" s="59">
        <f>G395</f>
        <v>0</v>
      </c>
      <c r="H393" s="59">
        <f>H395</f>
        <v>0</v>
      </c>
    </row>
    <row r="394" spans="1:8" ht="47.25" hidden="1" x14ac:dyDescent="0.25">
      <c r="A394" s="23" t="s">
        <v>1243</v>
      </c>
      <c r="B394" s="24" t="s">
        <v>1240</v>
      </c>
      <c r="C394" s="7"/>
      <c r="D394" s="7"/>
      <c r="E394" s="7"/>
      <c r="F394" s="7"/>
      <c r="G394" s="59">
        <f>G395+G397</f>
        <v>0</v>
      </c>
      <c r="H394" s="59">
        <f>H395+H397</f>
        <v>0</v>
      </c>
    </row>
    <row r="395" spans="1:8" ht="15.75" hidden="1" x14ac:dyDescent="0.25">
      <c r="A395" s="45" t="s">
        <v>248</v>
      </c>
      <c r="B395" s="5" t="s">
        <v>1240</v>
      </c>
      <c r="C395" s="40" t="s">
        <v>166</v>
      </c>
      <c r="D395" s="40"/>
      <c r="E395" s="40"/>
      <c r="F395" s="40"/>
      <c r="G395" s="10">
        <f>G396</f>
        <v>0</v>
      </c>
      <c r="H395" s="10">
        <f>H396</f>
        <v>0</v>
      </c>
    </row>
    <row r="396" spans="1:8" ht="15.75" hidden="1" x14ac:dyDescent="0.25">
      <c r="A396" s="45" t="s">
        <v>798</v>
      </c>
      <c r="B396" s="5" t="s">
        <v>1240</v>
      </c>
      <c r="C396" s="40" t="s">
        <v>166</v>
      </c>
      <c r="D396" s="40" t="s">
        <v>254</v>
      </c>
      <c r="E396" s="40"/>
      <c r="F396" s="40"/>
      <c r="G396" s="10">
        <f>G397+G401</f>
        <v>0</v>
      </c>
      <c r="H396" s="10">
        <f>H397+H401</f>
        <v>0</v>
      </c>
    </row>
    <row r="397" spans="1:8" ht="31.5" hidden="1" x14ac:dyDescent="0.25">
      <c r="A397" s="25" t="s">
        <v>1244</v>
      </c>
      <c r="B397" s="20" t="s">
        <v>1241</v>
      </c>
      <c r="C397" s="40" t="s">
        <v>166</v>
      </c>
      <c r="D397" s="40" t="s">
        <v>254</v>
      </c>
      <c r="E397" s="40"/>
      <c r="F397" s="40"/>
      <c r="G397" s="10">
        <f>G398</f>
        <v>0</v>
      </c>
      <c r="H397" s="10">
        <f>H398</f>
        <v>0</v>
      </c>
    </row>
    <row r="398" spans="1:8" ht="15.75" hidden="1" x14ac:dyDescent="0.25">
      <c r="A398" s="25" t="s">
        <v>151</v>
      </c>
      <c r="B398" s="20" t="s">
        <v>1241</v>
      </c>
      <c r="C398" s="40" t="s">
        <v>166</v>
      </c>
      <c r="D398" s="40" t="s">
        <v>254</v>
      </c>
      <c r="E398" s="40" t="s">
        <v>148</v>
      </c>
      <c r="F398" s="40"/>
      <c r="G398" s="10">
        <f>G399</f>
        <v>0</v>
      </c>
      <c r="H398" s="10">
        <f>H399</f>
        <v>0</v>
      </c>
    </row>
    <row r="399" spans="1:8" ht="63" hidden="1" x14ac:dyDescent="0.25">
      <c r="A399" s="25" t="s">
        <v>200</v>
      </c>
      <c r="B399" s="20" t="s">
        <v>1241</v>
      </c>
      <c r="C399" s="40" t="s">
        <v>166</v>
      </c>
      <c r="D399" s="40" t="s">
        <v>254</v>
      </c>
      <c r="E399" s="40" t="s">
        <v>150</v>
      </c>
      <c r="F399" s="40"/>
      <c r="G399" s="10">
        <f>'пр.5.1.ведом.21-22'!G186</f>
        <v>0</v>
      </c>
      <c r="H399" s="10">
        <f>'пр.5.1.ведом.21-22'!H186</f>
        <v>0</v>
      </c>
    </row>
    <row r="400" spans="1:8" ht="31.5" hidden="1" x14ac:dyDescent="0.25">
      <c r="A400" s="29" t="s">
        <v>164</v>
      </c>
      <c r="B400" s="20" t="s">
        <v>1241</v>
      </c>
      <c r="C400" s="40" t="s">
        <v>166</v>
      </c>
      <c r="D400" s="40" t="s">
        <v>254</v>
      </c>
      <c r="E400" s="40" t="s">
        <v>150</v>
      </c>
      <c r="F400" s="40" t="s">
        <v>658</v>
      </c>
      <c r="G400" s="10">
        <f>G399</f>
        <v>0</v>
      </c>
      <c r="H400" s="10">
        <f>H399</f>
        <v>0</v>
      </c>
    </row>
    <row r="401" spans="1:8" ht="47.25" hidden="1" x14ac:dyDescent="0.25">
      <c r="A401" s="25" t="s">
        <v>255</v>
      </c>
      <c r="B401" s="20" t="s">
        <v>1242</v>
      </c>
      <c r="C401" s="40" t="s">
        <v>166</v>
      </c>
      <c r="D401" s="40" t="s">
        <v>254</v>
      </c>
      <c r="E401" s="40"/>
      <c r="F401" s="40"/>
      <c r="G401" s="10">
        <f>G402</f>
        <v>0</v>
      </c>
      <c r="H401" s="10">
        <f>H402</f>
        <v>0</v>
      </c>
    </row>
    <row r="402" spans="1:8" ht="15.75" hidden="1" x14ac:dyDescent="0.25">
      <c r="A402" s="25" t="s">
        <v>151</v>
      </c>
      <c r="B402" s="20" t="s">
        <v>1242</v>
      </c>
      <c r="C402" s="40" t="s">
        <v>166</v>
      </c>
      <c r="D402" s="40" t="s">
        <v>254</v>
      </c>
      <c r="E402" s="40" t="s">
        <v>161</v>
      </c>
      <c r="F402" s="40"/>
      <c r="G402" s="10">
        <f>G403</f>
        <v>0</v>
      </c>
      <c r="H402" s="10">
        <f>H403</f>
        <v>0</v>
      </c>
    </row>
    <row r="403" spans="1:8" ht="63" hidden="1" x14ac:dyDescent="0.25">
      <c r="A403" s="25" t="s">
        <v>200</v>
      </c>
      <c r="B403" s="20" t="s">
        <v>1242</v>
      </c>
      <c r="C403" s="40" t="s">
        <v>166</v>
      </c>
      <c r="D403" s="40" t="s">
        <v>254</v>
      </c>
      <c r="E403" s="40" t="s">
        <v>176</v>
      </c>
      <c r="F403" s="40"/>
      <c r="G403" s="10">
        <f>'пр.5.1.ведом.21-22'!G189</f>
        <v>0</v>
      </c>
      <c r="H403" s="10">
        <f>'пр.5.1.ведом.21-22'!H189</f>
        <v>0</v>
      </c>
    </row>
    <row r="404" spans="1:8" ht="31.5" hidden="1" x14ac:dyDescent="0.25">
      <c r="A404" s="29" t="s">
        <v>164</v>
      </c>
      <c r="B404" s="20" t="s">
        <v>1242</v>
      </c>
      <c r="C404" s="40" t="s">
        <v>166</v>
      </c>
      <c r="D404" s="40" t="s">
        <v>254</v>
      </c>
      <c r="E404" s="40" t="s">
        <v>176</v>
      </c>
      <c r="F404" s="40" t="s">
        <v>658</v>
      </c>
      <c r="G404" s="10">
        <f>G403</f>
        <v>0</v>
      </c>
      <c r="H404" s="10">
        <f>H403</f>
        <v>0</v>
      </c>
    </row>
    <row r="405" spans="1:8" ht="47.25" x14ac:dyDescent="0.25">
      <c r="A405" s="41" t="s">
        <v>819</v>
      </c>
      <c r="B405" s="207" t="s">
        <v>178</v>
      </c>
      <c r="C405" s="7"/>
      <c r="D405" s="7"/>
      <c r="E405" s="7"/>
      <c r="F405" s="7"/>
      <c r="G405" s="59">
        <f>G406+G413+G432</f>
        <v>549</v>
      </c>
      <c r="H405" s="59">
        <f>H406+H413+H432</f>
        <v>549</v>
      </c>
    </row>
    <row r="406" spans="1:8" ht="78.75" x14ac:dyDescent="0.25">
      <c r="A406" s="233" t="s">
        <v>1155</v>
      </c>
      <c r="B406" s="7" t="s">
        <v>895</v>
      </c>
      <c r="C406" s="7"/>
      <c r="D406" s="8"/>
      <c r="E406" s="207"/>
      <c r="F406" s="7"/>
      <c r="G406" s="59">
        <f>G408</f>
        <v>446</v>
      </c>
      <c r="H406" s="59">
        <f>H408</f>
        <v>446</v>
      </c>
    </row>
    <row r="407" spans="1:8" ht="15.75" x14ac:dyDescent="0.25">
      <c r="A407" s="45" t="s">
        <v>133</v>
      </c>
      <c r="B407" s="5" t="s">
        <v>895</v>
      </c>
      <c r="C407" s="40" t="s">
        <v>134</v>
      </c>
      <c r="D407" s="5"/>
      <c r="E407" s="5"/>
      <c r="F407" s="40"/>
      <c r="G407" s="10">
        <f t="shared" ref="G407:H407" si="56">G408</f>
        <v>446</v>
      </c>
      <c r="H407" s="10">
        <f t="shared" si="56"/>
        <v>446</v>
      </c>
    </row>
    <row r="408" spans="1:8" ht="78.75" x14ac:dyDescent="0.25">
      <c r="A408" s="29" t="s">
        <v>165</v>
      </c>
      <c r="B408" s="5" t="s">
        <v>895</v>
      </c>
      <c r="C408" s="40" t="s">
        <v>134</v>
      </c>
      <c r="D408" s="9" t="s">
        <v>166</v>
      </c>
      <c r="E408" s="5"/>
      <c r="F408" s="40"/>
      <c r="G408" s="10">
        <f>G409</f>
        <v>446</v>
      </c>
      <c r="H408" s="10">
        <f>H409</f>
        <v>446</v>
      </c>
    </row>
    <row r="409" spans="1:8" ht="31.5" x14ac:dyDescent="0.25">
      <c r="A409" s="29" t="s">
        <v>179</v>
      </c>
      <c r="B409" s="40" t="s">
        <v>887</v>
      </c>
      <c r="C409" s="40" t="s">
        <v>134</v>
      </c>
      <c r="D409" s="9" t="s">
        <v>166</v>
      </c>
      <c r="E409" s="40"/>
      <c r="F409" s="40"/>
      <c r="G409" s="10">
        <f t="shared" ref="G409:H410" si="57">G410</f>
        <v>446</v>
      </c>
      <c r="H409" s="10">
        <f t="shared" si="57"/>
        <v>446</v>
      </c>
    </row>
    <row r="410" spans="1:8" ht="31.5" x14ac:dyDescent="0.25">
      <c r="A410" s="29" t="s">
        <v>147</v>
      </c>
      <c r="B410" s="40" t="s">
        <v>887</v>
      </c>
      <c r="C410" s="40" t="s">
        <v>134</v>
      </c>
      <c r="D410" s="9" t="s">
        <v>166</v>
      </c>
      <c r="E410" s="40" t="s">
        <v>148</v>
      </c>
      <c r="F410" s="40"/>
      <c r="G410" s="10">
        <f t="shared" si="57"/>
        <v>446</v>
      </c>
      <c r="H410" s="10">
        <f t="shared" si="57"/>
        <v>446</v>
      </c>
    </row>
    <row r="411" spans="1:8" ht="47.25" x14ac:dyDescent="0.25">
      <c r="A411" s="29" t="s">
        <v>149</v>
      </c>
      <c r="B411" s="40" t="s">
        <v>887</v>
      </c>
      <c r="C411" s="40" t="s">
        <v>134</v>
      </c>
      <c r="D411" s="9" t="s">
        <v>166</v>
      </c>
      <c r="E411" s="40" t="s">
        <v>150</v>
      </c>
      <c r="F411" s="40"/>
      <c r="G411" s="10">
        <f>'пр.5.1.ведом.21-22'!G73</f>
        <v>446</v>
      </c>
      <c r="H411" s="10">
        <f>'пр.5.1.ведом.21-22'!H73</f>
        <v>446</v>
      </c>
    </row>
    <row r="412" spans="1:8" ht="31.5" x14ac:dyDescent="0.25">
      <c r="A412" s="29" t="s">
        <v>164</v>
      </c>
      <c r="B412" s="40" t="s">
        <v>887</v>
      </c>
      <c r="C412" s="40" t="s">
        <v>134</v>
      </c>
      <c r="D412" s="9" t="s">
        <v>166</v>
      </c>
      <c r="E412" s="40" t="s">
        <v>150</v>
      </c>
      <c r="F412" s="40" t="s">
        <v>658</v>
      </c>
      <c r="G412" s="10">
        <f>G411</f>
        <v>446</v>
      </c>
      <c r="H412" s="10">
        <f>H411</f>
        <v>446</v>
      </c>
    </row>
    <row r="413" spans="1:8" ht="78.75" x14ac:dyDescent="0.25">
      <c r="A413" s="232" t="s">
        <v>889</v>
      </c>
      <c r="B413" s="7" t="s">
        <v>896</v>
      </c>
      <c r="C413" s="7"/>
      <c r="D413" s="8"/>
      <c r="E413" s="207"/>
      <c r="F413" s="7"/>
      <c r="G413" s="59">
        <f>G414</f>
        <v>102.5</v>
      </c>
      <c r="H413" s="59">
        <f>H414</f>
        <v>102.5</v>
      </c>
    </row>
    <row r="414" spans="1:8" ht="15.75" x14ac:dyDescent="0.25">
      <c r="A414" s="45" t="s">
        <v>133</v>
      </c>
      <c r="B414" s="5" t="s">
        <v>896</v>
      </c>
      <c r="C414" s="40" t="s">
        <v>134</v>
      </c>
      <c r="D414" s="5"/>
      <c r="E414" s="5"/>
      <c r="F414" s="40"/>
      <c r="G414" s="10">
        <f>G415+G424</f>
        <v>102.5</v>
      </c>
      <c r="H414" s="10">
        <f>H415+H424</f>
        <v>102.5</v>
      </c>
    </row>
    <row r="415" spans="1:8" ht="47.25" x14ac:dyDescent="0.25">
      <c r="A415" s="29" t="s">
        <v>591</v>
      </c>
      <c r="B415" s="5" t="s">
        <v>896</v>
      </c>
      <c r="C415" s="40" t="s">
        <v>134</v>
      </c>
      <c r="D415" s="9" t="s">
        <v>229</v>
      </c>
      <c r="E415" s="5"/>
      <c r="F415" s="40"/>
      <c r="G415" s="10">
        <f>G416+G420</f>
        <v>25.5</v>
      </c>
      <c r="H415" s="10">
        <f>H416+H420</f>
        <v>25.5</v>
      </c>
    </row>
    <row r="416" spans="1:8" ht="63" x14ac:dyDescent="0.25">
      <c r="A416" s="31" t="s">
        <v>712</v>
      </c>
      <c r="B416" s="40" t="s">
        <v>1142</v>
      </c>
      <c r="C416" s="40" t="s">
        <v>134</v>
      </c>
      <c r="D416" s="9" t="s">
        <v>229</v>
      </c>
      <c r="E416" s="5"/>
      <c r="F416" s="40"/>
      <c r="G416" s="10">
        <f>G417</f>
        <v>0.5</v>
      </c>
      <c r="H416" s="10">
        <f>H417</f>
        <v>0.5</v>
      </c>
    </row>
    <row r="417" spans="1:8" ht="31.5" x14ac:dyDescent="0.25">
      <c r="A417" s="25" t="s">
        <v>147</v>
      </c>
      <c r="B417" s="40" t="s">
        <v>1142</v>
      </c>
      <c r="C417" s="40" t="s">
        <v>134</v>
      </c>
      <c r="D417" s="9" t="s">
        <v>229</v>
      </c>
      <c r="E417" s="5">
        <v>200</v>
      </c>
      <c r="F417" s="40"/>
      <c r="G417" s="10">
        <f>G418</f>
        <v>0.5</v>
      </c>
      <c r="H417" s="10">
        <f>H418</f>
        <v>0.5</v>
      </c>
    </row>
    <row r="418" spans="1:8" ht="47.25" x14ac:dyDescent="0.25">
      <c r="A418" s="25" t="s">
        <v>149</v>
      </c>
      <c r="B418" s="40" t="s">
        <v>713</v>
      </c>
      <c r="C418" s="40" t="s">
        <v>134</v>
      </c>
      <c r="D418" s="9" t="s">
        <v>229</v>
      </c>
      <c r="E418" s="5">
        <v>240</v>
      </c>
      <c r="F418" s="40"/>
      <c r="G418" s="10">
        <f>'пр.5.1.ведом.21-22'!G1079</f>
        <v>0.5</v>
      </c>
      <c r="H418" s="10">
        <f>'пр.5.1.ведом.21-22'!H1079</f>
        <v>0.5</v>
      </c>
    </row>
    <row r="419" spans="1:8" ht="31.5" x14ac:dyDescent="0.25">
      <c r="A419" s="45" t="s">
        <v>590</v>
      </c>
      <c r="B419" s="40" t="s">
        <v>713</v>
      </c>
      <c r="C419" s="40" t="s">
        <v>134</v>
      </c>
      <c r="D419" s="9" t="s">
        <v>229</v>
      </c>
      <c r="E419" s="5">
        <v>240</v>
      </c>
      <c r="F419" s="40" t="s">
        <v>814</v>
      </c>
      <c r="G419" s="10">
        <f>G418</f>
        <v>0.5</v>
      </c>
      <c r="H419" s="10">
        <f>H418</f>
        <v>0.5</v>
      </c>
    </row>
    <row r="420" spans="1:8" ht="63" x14ac:dyDescent="0.25">
      <c r="A420" s="31" t="s">
        <v>712</v>
      </c>
      <c r="B420" s="20" t="s">
        <v>1141</v>
      </c>
      <c r="C420" s="40" t="s">
        <v>134</v>
      </c>
      <c r="D420" s="9" t="s">
        <v>229</v>
      </c>
      <c r="E420" s="5"/>
      <c r="F420" s="40"/>
      <c r="G420" s="10">
        <f>G421</f>
        <v>25</v>
      </c>
      <c r="H420" s="10">
        <f>H421</f>
        <v>25</v>
      </c>
    </row>
    <row r="421" spans="1:8" ht="31.5" x14ac:dyDescent="0.25">
      <c r="A421" s="25" t="s">
        <v>147</v>
      </c>
      <c r="B421" s="20" t="s">
        <v>1141</v>
      </c>
      <c r="C421" s="40" t="s">
        <v>134</v>
      </c>
      <c r="D421" s="9" t="s">
        <v>229</v>
      </c>
      <c r="E421" s="5">
        <v>200</v>
      </c>
      <c r="F421" s="40"/>
      <c r="G421" s="10">
        <f>G422</f>
        <v>25</v>
      </c>
      <c r="H421" s="10">
        <f>H422</f>
        <v>25</v>
      </c>
    </row>
    <row r="422" spans="1:8" ht="47.25" x14ac:dyDescent="0.25">
      <c r="A422" s="25" t="s">
        <v>149</v>
      </c>
      <c r="B422" s="20" t="s">
        <v>1141</v>
      </c>
      <c r="C422" s="40" t="s">
        <v>134</v>
      </c>
      <c r="D422" s="9" t="s">
        <v>229</v>
      </c>
      <c r="E422" s="5">
        <v>240</v>
      </c>
      <c r="F422" s="40"/>
      <c r="G422" s="10">
        <f>'пр.5.1.ведом.21-22'!G1082</f>
        <v>25</v>
      </c>
      <c r="H422" s="10">
        <f>'пр.5.1.ведом.21-22'!H1082</f>
        <v>25</v>
      </c>
    </row>
    <row r="423" spans="1:8" ht="31.5" x14ac:dyDescent="0.25">
      <c r="A423" s="45" t="s">
        <v>590</v>
      </c>
      <c r="B423" s="20" t="s">
        <v>1141</v>
      </c>
      <c r="C423" s="40" t="s">
        <v>134</v>
      </c>
      <c r="D423" s="9" t="s">
        <v>229</v>
      </c>
      <c r="E423" s="5">
        <v>240</v>
      </c>
      <c r="F423" s="40" t="s">
        <v>814</v>
      </c>
      <c r="G423" s="10">
        <f>G422</f>
        <v>25</v>
      </c>
      <c r="H423" s="10">
        <f>H422</f>
        <v>25</v>
      </c>
    </row>
    <row r="424" spans="1:8" ht="78.75" x14ac:dyDescent="0.25">
      <c r="A424" s="29" t="s">
        <v>165</v>
      </c>
      <c r="B424" s="5" t="s">
        <v>896</v>
      </c>
      <c r="C424" s="40" t="s">
        <v>134</v>
      </c>
      <c r="D424" s="9" t="s">
        <v>166</v>
      </c>
      <c r="E424" s="5"/>
      <c r="F424" s="40"/>
      <c r="G424" s="10">
        <f>G425</f>
        <v>77</v>
      </c>
      <c r="H424" s="10">
        <f>H425</f>
        <v>77</v>
      </c>
    </row>
    <row r="425" spans="1:8" ht="63" x14ac:dyDescent="0.25">
      <c r="A425" s="178" t="s">
        <v>181</v>
      </c>
      <c r="B425" s="40" t="s">
        <v>888</v>
      </c>
      <c r="C425" s="40" t="s">
        <v>134</v>
      </c>
      <c r="D425" s="9" t="s">
        <v>166</v>
      </c>
      <c r="E425" s="40"/>
      <c r="F425" s="40"/>
      <c r="G425" s="10">
        <f>G426+G429</f>
        <v>77</v>
      </c>
      <c r="H425" s="10">
        <f>H426+H429</f>
        <v>77</v>
      </c>
    </row>
    <row r="426" spans="1:8" ht="94.5" x14ac:dyDescent="0.25">
      <c r="A426" s="25" t="s">
        <v>143</v>
      </c>
      <c r="B426" s="40" t="s">
        <v>888</v>
      </c>
      <c r="C426" s="40" t="s">
        <v>134</v>
      </c>
      <c r="D426" s="9" t="s">
        <v>166</v>
      </c>
      <c r="E426" s="40" t="s">
        <v>144</v>
      </c>
      <c r="F426" s="40"/>
      <c r="G426" s="10">
        <f t="shared" ref="G426:H426" si="58">G427</f>
        <v>37</v>
      </c>
      <c r="H426" s="10">
        <f t="shared" si="58"/>
        <v>37</v>
      </c>
    </row>
    <row r="427" spans="1:8" ht="31.5" x14ac:dyDescent="0.25">
      <c r="A427" s="25" t="s">
        <v>145</v>
      </c>
      <c r="B427" s="40" t="s">
        <v>888</v>
      </c>
      <c r="C427" s="40" t="s">
        <v>134</v>
      </c>
      <c r="D427" s="9" t="s">
        <v>166</v>
      </c>
      <c r="E427" s="40" t="s">
        <v>146</v>
      </c>
      <c r="F427" s="40"/>
      <c r="G427" s="10">
        <f>'пр.5.1.ведом.21-22'!G77</f>
        <v>37</v>
      </c>
      <c r="H427" s="10">
        <f>'пр.5.1.ведом.21-22'!H77</f>
        <v>37</v>
      </c>
    </row>
    <row r="428" spans="1:8" ht="31.5" x14ac:dyDescent="0.25">
      <c r="A428" s="29" t="s">
        <v>164</v>
      </c>
      <c r="B428" s="40" t="s">
        <v>888</v>
      </c>
      <c r="C428" s="40" t="s">
        <v>134</v>
      </c>
      <c r="D428" s="9" t="s">
        <v>166</v>
      </c>
      <c r="E428" s="40" t="s">
        <v>146</v>
      </c>
      <c r="F428" s="40" t="s">
        <v>658</v>
      </c>
      <c r="G428" s="10">
        <f>G427</f>
        <v>37</v>
      </c>
      <c r="H428" s="10">
        <f>H427</f>
        <v>37</v>
      </c>
    </row>
    <row r="429" spans="1:8" ht="31.5" x14ac:dyDescent="0.25">
      <c r="A429" s="25" t="s">
        <v>147</v>
      </c>
      <c r="B429" s="40" t="s">
        <v>888</v>
      </c>
      <c r="C429" s="40" t="s">
        <v>134</v>
      </c>
      <c r="D429" s="9" t="s">
        <v>166</v>
      </c>
      <c r="E429" s="40" t="s">
        <v>148</v>
      </c>
      <c r="F429" s="40"/>
      <c r="G429" s="10">
        <f t="shared" ref="G429:H429" si="59">G430</f>
        <v>40</v>
      </c>
      <c r="H429" s="10">
        <f t="shared" si="59"/>
        <v>40</v>
      </c>
    </row>
    <row r="430" spans="1:8" ht="47.25" x14ac:dyDescent="0.25">
      <c r="A430" s="25" t="s">
        <v>149</v>
      </c>
      <c r="B430" s="40" t="s">
        <v>888</v>
      </c>
      <c r="C430" s="40" t="s">
        <v>134</v>
      </c>
      <c r="D430" s="9" t="s">
        <v>166</v>
      </c>
      <c r="E430" s="40" t="s">
        <v>150</v>
      </c>
      <c r="F430" s="40"/>
      <c r="G430" s="10">
        <f>'пр.5.1.ведом.21-22'!G79</f>
        <v>40</v>
      </c>
      <c r="H430" s="10">
        <f>'пр.5.1.ведом.21-22'!H79</f>
        <v>40</v>
      </c>
    </row>
    <row r="431" spans="1:8" ht="31.5" x14ac:dyDescent="0.25">
      <c r="A431" s="29" t="s">
        <v>164</v>
      </c>
      <c r="B431" s="40" t="s">
        <v>888</v>
      </c>
      <c r="C431" s="40" t="s">
        <v>134</v>
      </c>
      <c r="D431" s="9" t="s">
        <v>166</v>
      </c>
      <c r="E431" s="40" t="s">
        <v>150</v>
      </c>
      <c r="F431" s="40" t="s">
        <v>658</v>
      </c>
      <c r="G431" s="10">
        <f>G430</f>
        <v>40</v>
      </c>
      <c r="H431" s="10">
        <f>H430</f>
        <v>40</v>
      </c>
    </row>
    <row r="432" spans="1:8" ht="78.75" x14ac:dyDescent="0.25">
      <c r="A432" s="234" t="s">
        <v>1156</v>
      </c>
      <c r="B432" s="7" t="s">
        <v>897</v>
      </c>
      <c r="C432" s="7"/>
      <c r="D432" s="8"/>
      <c r="E432" s="7"/>
      <c r="F432" s="7"/>
      <c r="G432" s="59">
        <f>G433</f>
        <v>0.5</v>
      </c>
      <c r="H432" s="59">
        <f>H433</f>
        <v>0.5</v>
      </c>
    </row>
    <row r="433" spans="1:8" s="217" customFormat="1" ht="15.75" x14ac:dyDescent="0.25">
      <c r="A433" s="294" t="s">
        <v>133</v>
      </c>
      <c r="B433" s="40" t="s">
        <v>897</v>
      </c>
      <c r="C433" s="40" t="s">
        <v>134</v>
      </c>
      <c r="D433" s="9"/>
      <c r="E433" s="7"/>
      <c r="F433" s="7"/>
      <c r="G433" s="10">
        <f>G434</f>
        <v>0.5</v>
      </c>
      <c r="H433" s="10">
        <f>H434</f>
        <v>0.5</v>
      </c>
    </row>
    <row r="434" spans="1:8" s="217" customFormat="1" ht="78.75" x14ac:dyDescent="0.25">
      <c r="A434" s="29" t="s">
        <v>165</v>
      </c>
      <c r="B434" s="40" t="s">
        <v>897</v>
      </c>
      <c r="C434" s="40" t="s">
        <v>134</v>
      </c>
      <c r="D434" s="9" t="s">
        <v>166</v>
      </c>
      <c r="E434" s="7"/>
      <c r="F434" s="7"/>
      <c r="G434" s="10">
        <f>G435+G439</f>
        <v>0.5</v>
      </c>
      <c r="H434" s="10">
        <f>H435+H439</f>
        <v>0.5</v>
      </c>
    </row>
    <row r="435" spans="1:8" ht="63" x14ac:dyDescent="0.25">
      <c r="A435" s="33" t="s">
        <v>207</v>
      </c>
      <c r="B435" s="40" t="s">
        <v>890</v>
      </c>
      <c r="C435" s="40" t="s">
        <v>134</v>
      </c>
      <c r="D435" s="9" t="s">
        <v>166</v>
      </c>
      <c r="E435" s="40"/>
      <c r="F435" s="40"/>
      <c r="G435" s="10">
        <f>G436</f>
        <v>0.5</v>
      </c>
      <c r="H435" s="10">
        <f>H436</f>
        <v>0.5</v>
      </c>
    </row>
    <row r="436" spans="1:8" ht="31.5" x14ac:dyDescent="0.25">
      <c r="A436" s="25" t="s">
        <v>147</v>
      </c>
      <c r="B436" s="40" t="s">
        <v>890</v>
      </c>
      <c r="C436" s="40" t="s">
        <v>134</v>
      </c>
      <c r="D436" s="9" t="s">
        <v>166</v>
      </c>
      <c r="E436" s="40" t="s">
        <v>148</v>
      </c>
      <c r="F436" s="40"/>
      <c r="G436" s="10">
        <f>G437</f>
        <v>0.5</v>
      </c>
      <c r="H436" s="10">
        <f>H437</f>
        <v>0.5</v>
      </c>
    </row>
    <row r="437" spans="1:8" ht="47.25" x14ac:dyDescent="0.25">
      <c r="A437" s="25" t="s">
        <v>149</v>
      </c>
      <c r="B437" s="40" t="s">
        <v>890</v>
      </c>
      <c r="C437" s="40" t="s">
        <v>134</v>
      </c>
      <c r="D437" s="9" t="s">
        <v>166</v>
      </c>
      <c r="E437" s="40" t="s">
        <v>150</v>
      </c>
      <c r="F437" s="40"/>
      <c r="G437" s="10">
        <f>'пр.5.1.ведом.21-22'!G83</f>
        <v>0.5</v>
      </c>
      <c r="H437" s="10">
        <f>'пр.5.1.ведом.21-22'!H83</f>
        <v>0.5</v>
      </c>
    </row>
    <row r="438" spans="1:8" ht="31.5" x14ac:dyDescent="0.25">
      <c r="A438" s="29" t="s">
        <v>164</v>
      </c>
      <c r="B438" s="40" t="s">
        <v>890</v>
      </c>
      <c r="C438" s="40" t="s">
        <v>134</v>
      </c>
      <c r="D438" s="9" t="s">
        <v>166</v>
      </c>
      <c r="E438" s="40" t="s">
        <v>150</v>
      </c>
      <c r="F438" s="40" t="s">
        <v>658</v>
      </c>
      <c r="G438" s="10">
        <f>G437</f>
        <v>0.5</v>
      </c>
      <c r="H438" s="10">
        <f>H437</f>
        <v>0.5</v>
      </c>
    </row>
    <row r="439" spans="1:8" ht="63" hidden="1" x14ac:dyDescent="0.25">
      <c r="A439" s="33" t="s">
        <v>207</v>
      </c>
      <c r="B439" s="20" t="s">
        <v>891</v>
      </c>
      <c r="C439" s="40" t="s">
        <v>134</v>
      </c>
      <c r="D439" s="9" t="s">
        <v>166</v>
      </c>
      <c r="E439" s="40"/>
      <c r="F439" s="40"/>
      <c r="G439" s="10">
        <f>G440</f>
        <v>0</v>
      </c>
      <c r="H439" s="10">
        <f>H440</f>
        <v>0</v>
      </c>
    </row>
    <row r="440" spans="1:8" ht="31.5" hidden="1" x14ac:dyDescent="0.25">
      <c r="A440" s="25" t="s">
        <v>147</v>
      </c>
      <c r="B440" s="20" t="s">
        <v>891</v>
      </c>
      <c r="C440" s="40" t="s">
        <v>134</v>
      </c>
      <c r="D440" s="9" t="s">
        <v>166</v>
      </c>
      <c r="E440" s="40" t="s">
        <v>148</v>
      </c>
      <c r="F440" s="40"/>
      <c r="G440" s="10">
        <f>G441</f>
        <v>0</v>
      </c>
      <c r="H440" s="10">
        <f>H441</f>
        <v>0</v>
      </c>
    </row>
    <row r="441" spans="1:8" ht="47.25" hidden="1" x14ac:dyDescent="0.25">
      <c r="A441" s="25" t="s">
        <v>149</v>
      </c>
      <c r="B441" s="20" t="s">
        <v>891</v>
      </c>
      <c r="C441" s="40" t="s">
        <v>134</v>
      </c>
      <c r="D441" s="9" t="s">
        <v>166</v>
      </c>
      <c r="E441" s="40" t="s">
        <v>150</v>
      </c>
      <c r="F441" s="40"/>
      <c r="G441" s="10">
        <f>'пр.5.1.ведом.21-22'!G86</f>
        <v>0</v>
      </c>
      <c r="H441" s="10">
        <f>'пр.5.1.ведом.21-22'!H86</f>
        <v>0</v>
      </c>
    </row>
    <row r="442" spans="1:8" ht="31.5" hidden="1" x14ac:dyDescent="0.25">
      <c r="A442" s="29" t="s">
        <v>164</v>
      </c>
      <c r="B442" s="20" t="s">
        <v>891</v>
      </c>
      <c r="C442" s="40" t="s">
        <v>134</v>
      </c>
      <c r="D442" s="9" t="s">
        <v>166</v>
      </c>
      <c r="E442" s="40" t="s">
        <v>150</v>
      </c>
      <c r="F442" s="40" t="s">
        <v>658</v>
      </c>
      <c r="G442" s="10">
        <f>G441</f>
        <v>0</v>
      </c>
      <c r="H442" s="10">
        <f>H441</f>
        <v>0</v>
      </c>
    </row>
    <row r="443" spans="1:8" ht="78.75" x14ac:dyDescent="0.25">
      <c r="A443" s="41" t="s">
        <v>269</v>
      </c>
      <c r="B443" s="207" t="s">
        <v>270</v>
      </c>
      <c r="C443" s="40"/>
      <c r="D443" s="40"/>
      <c r="E443" s="40"/>
      <c r="F443" s="40"/>
      <c r="G443" s="59">
        <f t="shared" ref="G443:H443" si="60">G445</f>
        <v>5010</v>
      </c>
      <c r="H443" s="59">
        <f t="shared" si="60"/>
        <v>10</v>
      </c>
    </row>
    <row r="444" spans="1:8" ht="47.25" x14ac:dyDescent="0.25">
      <c r="A444" s="23" t="s">
        <v>931</v>
      </c>
      <c r="B444" s="24" t="s">
        <v>929</v>
      </c>
      <c r="C444" s="40"/>
      <c r="D444" s="40"/>
      <c r="E444" s="40"/>
      <c r="F444" s="40"/>
      <c r="G444" s="59">
        <f t="shared" ref="G444:H445" si="61">G445</f>
        <v>5010</v>
      </c>
      <c r="H444" s="59">
        <f t="shared" si="61"/>
        <v>10</v>
      </c>
    </row>
    <row r="445" spans="1:8" ht="15.75" x14ac:dyDescent="0.25">
      <c r="A445" s="29" t="s">
        <v>259</v>
      </c>
      <c r="B445" s="5" t="s">
        <v>929</v>
      </c>
      <c r="C445" s="40" t="s">
        <v>260</v>
      </c>
      <c r="D445" s="40"/>
      <c r="E445" s="40"/>
      <c r="F445" s="40"/>
      <c r="G445" s="10">
        <f t="shared" si="61"/>
        <v>5010</v>
      </c>
      <c r="H445" s="10">
        <f t="shared" si="61"/>
        <v>10</v>
      </c>
    </row>
    <row r="446" spans="1:8" ht="15.75" x14ac:dyDescent="0.25">
      <c r="A446" s="29" t="s">
        <v>268</v>
      </c>
      <c r="B446" s="5" t="s">
        <v>929</v>
      </c>
      <c r="C446" s="40" t="s">
        <v>260</v>
      </c>
      <c r="D446" s="40" t="s">
        <v>231</v>
      </c>
      <c r="E446" s="40"/>
      <c r="F446" s="40"/>
      <c r="G446" s="10">
        <f>G447+G451</f>
        <v>5010</v>
      </c>
      <c r="H446" s="10">
        <f>H447+H451</f>
        <v>10</v>
      </c>
    </row>
    <row r="447" spans="1:8" ht="31.5" x14ac:dyDescent="0.25">
      <c r="A447" s="25" t="s">
        <v>930</v>
      </c>
      <c r="B447" s="20" t="s">
        <v>1470</v>
      </c>
      <c r="C447" s="40" t="s">
        <v>260</v>
      </c>
      <c r="D447" s="40" t="s">
        <v>231</v>
      </c>
      <c r="E447" s="40"/>
      <c r="F447" s="40"/>
      <c r="G447" s="10">
        <f t="shared" ref="G447:H448" si="62">G448</f>
        <v>10</v>
      </c>
      <c r="H447" s="10">
        <f t="shared" si="62"/>
        <v>10</v>
      </c>
    </row>
    <row r="448" spans="1:8" ht="31.5" x14ac:dyDescent="0.25">
      <c r="A448" s="25" t="s">
        <v>264</v>
      </c>
      <c r="B448" s="20" t="s">
        <v>1470</v>
      </c>
      <c r="C448" s="40" t="s">
        <v>260</v>
      </c>
      <c r="D448" s="40" t="s">
        <v>231</v>
      </c>
      <c r="E448" s="40" t="s">
        <v>265</v>
      </c>
      <c r="F448" s="40"/>
      <c r="G448" s="10">
        <f t="shared" si="62"/>
        <v>10</v>
      </c>
      <c r="H448" s="10">
        <f t="shared" si="62"/>
        <v>10</v>
      </c>
    </row>
    <row r="449" spans="1:8" ht="47.25" x14ac:dyDescent="0.25">
      <c r="A449" s="25" t="s">
        <v>266</v>
      </c>
      <c r="B449" s="20" t="s">
        <v>1470</v>
      </c>
      <c r="C449" s="40" t="s">
        <v>260</v>
      </c>
      <c r="D449" s="40" t="s">
        <v>231</v>
      </c>
      <c r="E449" s="40" t="s">
        <v>267</v>
      </c>
      <c r="F449" s="40"/>
      <c r="G449" s="10">
        <f>'пр.5.1.ведом.21-22'!G202</f>
        <v>10</v>
      </c>
      <c r="H449" s="10">
        <f>'пр.5.1.ведом.21-22'!H202</f>
        <v>10</v>
      </c>
    </row>
    <row r="450" spans="1:8" ht="31.5" x14ac:dyDescent="0.25">
      <c r="A450" s="45" t="s">
        <v>164</v>
      </c>
      <c r="B450" s="20" t="s">
        <v>1470</v>
      </c>
      <c r="C450" s="40" t="s">
        <v>260</v>
      </c>
      <c r="D450" s="40" t="s">
        <v>231</v>
      </c>
      <c r="E450" s="40" t="s">
        <v>267</v>
      </c>
      <c r="F450" s="40" t="s">
        <v>658</v>
      </c>
      <c r="G450" s="10">
        <f>G449</f>
        <v>10</v>
      </c>
      <c r="H450" s="10">
        <f>H449</f>
        <v>10</v>
      </c>
    </row>
    <row r="451" spans="1:8" s="217" customFormat="1" ht="78.75" x14ac:dyDescent="0.25">
      <c r="A451" s="25" t="s">
        <v>1418</v>
      </c>
      <c r="B451" s="20" t="s">
        <v>1417</v>
      </c>
      <c r="C451" s="40" t="s">
        <v>260</v>
      </c>
      <c r="D451" s="40" t="s">
        <v>231</v>
      </c>
      <c r="E451" s="40"/>
      <c r="F451" s="40"/>
      <c r="G451" s="10">
        <f>G452</f>
        <v>5000</v>
      </c>
      <c r="H451" s="10">
        <f>H452</f>
        <v>0</v>
      </c>
    </row>
    <row r="452" spans="1:8" s="217" customFormat="1" ht="31.5" x14ac:dyDescent="0.25">
      <c r="A452" s="25" t="s">
        <v>264</v>
      </c>
      <c r="B452" s="20" t="s">
        <v>1417</v>
      </c>
      <c r="C452" s="40" t="s">
        <v>260</v>
      </c>
      <c r="D452" s="40" t="s">
        <v>231</v>
      </c>
      <c r="E452" s="40" t="s">
        <v>265</v>
      </c>
      <c r="F452" s="40"/>
      <c r="G452" s="10">
        <f>G453</f>
        <v>5000</v>
      </c>
      <c r="H452" s="10">
        <f>H453</f>
        <v>0</v>
      </c>
    </row>
    <row r="453" spans="1:8" s="217" customFormat="1" ht="47.25" x14ac:dyDescent="0.25">
      <c r="A453" s="25" t="s">
        <v>266</v>
      </c>
      <c r="B453" s="20" t="s">
        <v>1417</v>
      </c>
      <c r="C453" s="40" t="s">
        <v>260</v>
      </c>
      <c r="D453" s="40" t="s">
        <v>231</v>
      </c>
      <c r="E453" s="40" t="s">
        <v>267</v>
      </c>
      <c r="F453" s="40"/>
      <c r="G453" s="10">
        <f>'пр.5.1.ведом.21-22'!G205</f>
        <v>5000</v>
      </c>
      <c r="H453" s="10">
        <f>'пр.5.1.ведом.21-22'!H205</f>
        <v>0</v>
      </c>
    </row>
    <row r="454" spans="1:8" s="217" customFormat="1" ht="31.5" x14ac:dyDescent="0.25">
      <c r="A454" s="45" t="s">
        <v>164</v>
      </c>
      <c r="B454" s="20" t="s">
        <v>1417</v>
      </c>
      <c r="C454" s="40" t="s">
        <v>260</v>
      </c>
      <c r="D454" s="40" t="s">
        <v>231</v>
      </c>
      <c r="E454" s="40" t="s">
        <v>267</v>
      </c>
      <c r="F454" s="40" t="s">
        <v>658</v>
      </c>
      <c r="G454" s="10">
        <f>G451</f>
        <v>5000</v>
      </c>
      <c r="H454" s="10">
        <f>H451</f>
        <v>0</v>
      </c>
    </row>
    <row r="455" spans="1:8" ht="63" x14ac:dyDescent="0.25">
      <c r="A455" s="41" t="s">
        <v>497</v>
      </c>
      <c r="B455" s="3" t="s">
        <v>498</v>
      </c>
      <c r="C455" s="68"/>
      <c r="D455" s="68"/>
      <c r="E455" s="68"/>
      <c r="F455" s="68"/>
      <c r="G455" s="4">
        <f>G456+G505</f>
        <v>48187.5</v>
      </c>
      <c r="H455" s="4">
        <f>H456+H505</f>
        <v>48187.5</v>
      </c>
    </row>
    <row r="456" spans="1:8" ht="63" x14ac:dyDescent="0.25">
      <c r="A456" s="58" t="s">
        <v>509</v>
      </c>
      <c r="B456" s="7" t="s">
        <v>510</v>
      </c>
      <c r="C456" s="7"/>
      <c r="D456" s="7"/>
      <c r="E456" s="7"/>
      <c r="F456" s="3"/>
      <c r="G456" s="59">
        <f>G457+G472+G487+G498</f>
        <v>46187.5</v>
      </c>
      <c r="H456" s="59">
        <f>H457+H472+H487+H498</f>
        <v>46187.5</v>
      </c>
    </row>
    <row r="457" spans="1:8" ht="47.25" x14ac:dyDescent="0.25">
      <c r="A457" s="23" t="s">
        <v>1028</v>
      </c>
      <c r="B457" s="24" t="s">
        <v>1061</v>
      </c>
      <c r="C457" s="7"/>
      <c r="D457" s="7"/>
      <c r="E457" s="236"/>
      <c r="F457" s="207"/>
      <c r="G457" s="59">
        <f>G458</f>
        <v>44582</v>
      </c>
      <c r="H457" s="59">
        <f>H458</f>
        <v>44582</v>
      </c>
    </row>
    <row r="458" spans="1:8" ht="15.75" x14ac:dyDescent="0.25">
      <c r="A458" s="29" t="s">
        <v>506</v>
      </c>
      <c r="B458" s="40" t="s">
        <v>1061</v>
      </c>
      <c r="C458" s="2">
        <v>11</v>
      </c>
      <c r="D458" s="68"/>
      <c r="E458" s="68"/>
      <c r="F458" s="68"/>
      <c r="G458" s="10">
        <f t="shared" ref="G458:H458" si="63">G459</f>
        <v>44582</v>
      </c>
      <c r="H458" s="10">
        <f t="shared" si="63"/>
        <v>44582</v>
      </c>
    </row>
    <row r="459" spans="1:8" ht="16.5" x14ac:dyDescent="0.25">
      <c r="A459" s="29" t="s">
        <v>508</v>
      </c>
      <c r="B459" s="40" t="s">
        <v>1061</v>
      </c>
      <c r="C459" s="40" t="s">
        <v>507</v>
      </c>
      <c r="D459" s="40" t="s">
        <v>134</v>
      </c>
      <c r="E459" s="71"/>
      <c r="F459" s="5"/>
      <c r="G459" s="10">
        <f>G460+G464+G468</f>
        <v>44582</v>
      </c>
      <c r="H459" s="10">
        <f>H460+H464+H468</f>
        <v>44582</v>
      </c>
    </row>
    <row r="460" spans="1:8" ht="63" x14ac:dyDescent="0.25">
      <c r="A460" s="25" t="s">
        <v>837</v>
      </c>
      <c r="B460" s="20" t="s">
        <v>1071</v>
      </c>
      <c r="C460" s="40" t="s">
        <v>507</v>
      </c>
      <c r="D460" s="40" t="s">
        <v>134</v>
      </c>
      <c r="E460" s="71"/>
      <c r="F460" s="5"/>
      <c r="G460" s="10">
        <f>G461</f>
        <v>13108</v>
      </c>
      <c r="H460" s="10">
        <f>H461</f>
        <v>13108</v>
      </c>
    </row>
    <row r="461" spans="1:8" ht="47.25" x14ac:dyDescent="0.25">
      <c r="A461" s="29" t="s">
        <v>288</v>
      </c>
      <c r="B461" s="20" t="s">
        <v>1071</v>
      </c>
      <c r="C461" s="40" t="s">
        <v>507</v>
      </c>
      <c r="D461" s="40" t="s">
        <v>134</v>
      </c>
      <c r="E461" s="40" t="s">
        <v>289</v>
      </c>
      <c r="F461" s="5"/>
      <c r="G461" s="10">
        <f>G462</f>
        <v>13108</v>
      </c>
      <c r="H461" s="10">
        <f>H462</f>
        <v>13108</v>
      </c>
    </row>
    <row r="462" spans="1:8" ht="15.75" x14ac:dyDescent="0.25">
      <c r="A462" s="29" t="s">
        <v>290</v>
      </c>
      <c r="B462" s="20" t="s">
        <v>1071</v>
      </c>
      <c r="C462" s="40" t="s">
        <v>507</v>
      </c>
      <c r="D462" s="40" t="s">
        <v>134</v>
      </c>
      <c r="E462" s="40" t="s">
        <v>291</v>
      </c>
      <c r="F462" s="5"/>
      <c r="G462" s="10">
        <f>'пр.5.1.ведом.21-22'!G788</f>
        <v>13108</v>
      </c>
      <c r="H462" s="10">
        <f>'пр.5.1.ведом.21-22'!H788</f>
        <v>13108</v>
      </c>
    </row>
    <row r="463" spans="1:8" ht="47.25" x14ac:dyDescent="0.25">
      <c r="A463" s="70" t="s">
        <v>496</v>
      </c>
      <c r="B463" s="20" t="s">
        <v>1071</v>
      </c>
      <c r="C463" s="40" t="s">
        <v>507</v>
      </c>
      <c r="D463" s="40" t="s">
        <v>134</v>
      </c>
      <c r="E463" s="40" t="s">
        <v>291</v>
      </c>
      <c r="F463" s="5">
        <v>907</v>
      </c>
      <c r="G463" s="10">
        <f>G462</f>
        <v>13108</v>
      </c>
      <c r="H463" s="10">
        <f>H462</f>
        <v>13108</v>
      </c>
    </row>
    <row r="464" spans="1:8" ht="47.25" x14ac:dyDescent="0.25">
      <c r="A464" s="25" t="s">
        <v>836</v>
      </c>
      <c r="B464" s="20" t="s">
        <v>1072</v>
      </c>
      <c r="C464" s="40" t="s">
        <v>507</v>
      </c>
      <c r="D464" s="40" t="s">
        <v>134</v>
      </c>
      <c r="E464" s="40"/>
      <c r="F464" s="5"/>
      <c r="G464" s="10">
        <f>G465</f>
        <v>12897</v>
      </c>
      <c r="H464" s="10">
        <f>H465</f>
        <v>12897</v>
      </c>
    </row>
    <row r="465" spans="1:8" ht="47.25" x14ac:dyDescent="0.25">
      <c r="A465" s="25" t="s">
        <v>288</v>
      </c>
      <c r="B465" s="20" t="s">
        <v>1072</v>
      </c>
      <c r="C465" s="40" t="s">
        <v>507</v>
      </c>
      <c r="D465" s="40" t="s">
        <v>134</v>
      </c>
      <c r="E465" s="40" t="s">
        <v>289</v>
      </c>
      <c r="F465" s="5"/>
      <c r="G465" s="10">
        <f>G466</f>
        <v>12897</v>
      </c>
      <c r="H465" s="10">
        <f>H466</f>
        <v>12897</v>
      </c>
    </row>
    <row r="466" spans="1:8" ht="15.75" x14ac:dyDescent="0.25">
      <c r="A466" s="25" t="s">
        <v>290</v>
      </c>
      <c r="B466" s="20" t="s">
        <v>1072</v>
      </c>
      <c r="C466" s="40" t="s">
        <v>507</v>
      </c>
      <c r="D466" s="40" t="s">
        <v>134</v>
      </c>
      <c r="E466" s="40" t="s">
        <v>291</v>
      </c>
      <c r="F466" s="5"/>
      <c r="G466" s="10">
        <f>'пр.5.1.ведом.21-22'!G791</f>
        <v>12897</v>
      </c>
      <c r="H466" s="10">
        <f>'пр.5.1.ведом.21-22'!H791</f>
        <v>12897</v>
      </c>
    </row>
    <row r="467" spans="1:8" ht="47.25" x14ac:dyDescent="0.25">
      <c r="A467" s="70" t="s">
        <v>496</v>
      </c>
      <c r="B467" s="20" t="s">
        <v>1072</v>
      </c>
      <c r="C467" s="40" t="s">
        <v>507</v>
      </c>
      <c r="D467" s="40" t="s">
        <v>134</v>
      </c>
      <c r="E467" s="40" t="s">
        <v>291</v>
      </c>
      <c r="F467" s="5">
        <v>907</v>
      </c>
      <c r="G467" s="10">
        <f>G466</f>
        <v>12897</v>
      </c>
      <c r="H467" s="10">
        <f>H466</f>
        <v>12897</v>
      </c>
    </row>
    <row r="468" spans="1:8" ht="63" x14ac:dyDescent="0.25">
      <c r="A468" s="25" t="s">
        <v>835</v>
      </c>
      <c r="B468" s="20" t="s">
        <v>1073</v>
      </c>
      <c r="C468" s="40" t="s">
        <v>507</v>
      </c>
      <c r="D468" s="40" t="s">
        <v>134</v>
      </c>
      <c r="E468" s="40"/>
      <c r="F468" s="5"/>
      <c r="G468" s="10">
        <f>G469</f>
        <v>18577</v>
      </c>
      <c r="H468" s="10">
        <f>H469</f>
        <v>18577</v>
      </c>
    </row>
    <row r="469" spans="1:8" ht="47.25" x14ac:dyDescent="0.25">
      <c r="A469" s="25" t="s">
        <v>288</v>
      </c>
      <c r="B469" s="20" t="s">
        <v>1073</v>
      </c>
      <c r="C469" s="40" t="s">
        <v>507</v>
      </c>
      <c r="D469" s="40" t="s">
        <v>134</v>
      </c>
      <c r="E469" s="40" t="s">
        <v>289</v>
      </c>
      <c r="F469" s="5"/>
      <c r="G469" s="10">
        <f>G470</f>
        <v>18577</v>
      </c>
      <c r="H469" s="10">
        <f>H470</f>
        <v>18577</v>
      </c>
    </row>
    <row r="470" spans="1:8" ht="15.75" x14ac:dyDescent="0.25">
      <c r="A470" s="25" t="s">
        <v>290</v>
      </c>
      <c r="B470" s="20" t="s">
        <v>1073</v>
      </c>
      <c r="C470" s="40" t="s">
        <v>507</v>
      </c>
      <c r="D470" s="40" t="s">
        <v>134</v>
      </c>
      <c r="E470" s="40" t="s">
        <v>291</v>
      </c>
      <c r="F470" s="5"/>
      <c r="G470" s="10">
        <f>'пр.5.1.ведом.21-22'!G794</f>
        <v>18577</v>
      </c>
      <c r="H470" s="10">
        <f>'пр.5.1.ведом.21-22'!H794</f>
        <v>18577</v>
      </c>
    </row>
    <row r="471" spans="1:8" ht="47.25" x14ac:dyDescent="0.25">
      <c r="A471" s="70" t="s">
        <v>496</v>
      </c>
      <c r="B471" s="20" t="s">
        <v>1073</v>
      </c>
      <c r="C471" s="40" t="s">
        <v>507</v>
      </c>
      <c r="D471" s="40" t="s">
        <v>134</v>
      </c>
      <c r="E471" s="40" t="s">
        <v>291</v>
      </c>
      <c r="F471" s="5">
        <v>907</v>
      </c>
      <c r="G471" s="10">
        <f>G470</f>
        <v>18577</v>
      </c>
      <c r="H471" s="10">
        <f>H470</f>
        <v>18577</v>
      </c>
    </row>
    <row r="472" spans="1:8" ht="31.5" x14ac:dyDescent="0.25">
      <c r="A472" s="23" t="s">
        <v>1074</v>
      </c>
      <c r="B472" s="24" t="s">
        <v>1075</v>
      </c>
      <c r="C472" s="7"/>
      <c r="D472" s="7"/>
      <c r="E472" s="7"/>
      <c r="F472" s="207"/>
      <c r="G472" s="59">
        <f>G473</f>
        <v>36</v>
      </c>
      <c r="H472" s="59">
        <f>H473</f>
        <v>36</v>
      </c>
    </row>
    <row r="473" spans="1:8" ht="15.75" x14ac:dyDescent="0.25">
      <c r="A473" s="29" t="s">
        <v>506</v>
      </c>
      <c r="B473" s="40" t="s">
        <v>1075</v>
      </c>
      <c r="C473" s="2">
        <v>11</v>
      </c>
      <c r="D473" s="68"/>
      <c r="E473" s="68"/>
      <c r="F473" s="68"/>
      <c r="G473" s="10">
        <f t="shared" ref="G473:H473" si="64">G474</f>
        <v>36</v>
      </c>
      <c r="H473" s="10">
        <f t="shared" si="64"/>
        <v>36</v>
      </c>
    </row>
    <row r="474" spans="1:8" ht="16.5" x14ac:dyDescent="0.25">
      <c r="A474" s="29" t="s">
        <v>508</v>
      </c>
      <c r="B474" s="40" t="s">
        <v>1075</v>
      </c>
      <c r="C474" s="40" t="s">
        <v>507</v>
      </c>
      <c r="D474" s="40" t="s">
        <v>134</v>
      </c>
      <c r="E474" s="71"/>
      <c r="F474" s="5"/>
      <c r="G474" s="10">
        <f>G475+G479+G483</f>
        <v>36</v>
      </c>
      <c r="H474" s="10">
        <f>H475+H479+H483</f>
        <v>36</v>
      </c>
    </row>
    <row r="475" spans="1:8" ht="47.25" hidden="1" x14ac:dyDescent="0.25">
      <c r="A475" s="29" t="s">
        <v>294</v>
      </c>
      <c r="B475" s="20" t="s">
        <v>1079</v>
      </c>
      <c r="C475" s="40" t="s">
        <v>507</v>
      </c>
      <c r="D475" s="40" t="s">
        <v>134</v>
      </c>
      <c r="E475" s="40"/>
      <c r="F475" s="5"/>
      <c r="G475" s="10">
        <f t="shared" ref="G475:H476" si="65">G476</f>
        <v>0</v>
      </c>
      <c r="H475" s="10">
        <f t="shared" si="65"/>
        <v>0</v>
      </c>
    </row>
    <row r="476" spans="1:8" ht="47.25" hidden="1" x14ac:dyDescent="0.25">
      <c r="A476" s="29" t="s">
        <v>288</v>
      </c>
      <c r="B476" s="20" t="s">
        <v>1079</v>
      </c>
      <c r="C476" s="40" t="s">
        <v>507</v>
      </c>
      <c r="D476" s="40" t="s">
        <v>134</v>
      </c>
      <c r="E476" s="40" t="s">
        <v>289</v>
      </c>
      <c r="F476" s="5"/>
      <c r="G476" s="10">
        <f t="shared" si="65"/>
        <v>0</v>
      </c>
      <c r="H476" s="10">
        <f t="shared" si="65"/>
        <v>0</v>
      </c>
    </row>
    <row r="477" spans="1:8" ht="15.75" hidden="1" x14ac:dyDescent="0.25">
      <c r="A477" s="29" t="s">
        <v>290</v>
      </c>
      <c r="B477" s="20" t="s">
        <v>1079</v>
      </c>
      <c r="C477" s="40" t="s">
        <v>507</v>
      </c>
      <c r="D477" s="40" t="s">
        <v>134</v>
      </c>
      <c r="E477" s="40" t="s">
        <v>291</v>
      </c>
      <c r="F477" s="5"/>
      <c r="G477" s="10">
        <f>'пр.5.1.ведом.21-22'!G798</f>
        <v>0</v>
      </c>
      <c r="H477" s="10">
        <f>'пр.5.1.ведом.21-22'!H798</f>
        <v>0</v>
      </c>
    </row>
    <row r="478" spans="1:8" ht="47.25" hidden="1" x14ac:dyDescent="0.25">
      <c r="A478" s="70" t="s">
        <v>496</v>
      </c>
      <c r="B478" s="20" t="s">
        <v>1079</v>
      </c>
      <c r="C478" s="40" t="s">
        <v>507</v>
      </c>
      <c r="D478" s="40" t="s">
        <v>134</v>
      </c>
      <c r="E478" s="40" t="s">
        <v>291</v>
      </c>
      <c r="F478" s="5">
        <v>907</v>
      </c>
      <c r="G478" s="10">
        <f>G477</f>
        <v>0</v>
      </c>
      <c r="H478" s="10">
        <f>H477</f>
        <v>0</v>
      </c>
    </row>
    <row r="479" spans="1:8" ht="31.5" hidden="1" x14ac:dyDescent="0.25">
      <c r="A479" s="29" t="s">
        <v>296</v>
      </c>
      <c r="B479" s="20" t="s">
        <v>1080</v>
      </c>
      <c r="C479" s="40" t="s">
        <v>507</v>
      </c>
      <c r="D479" s="40" t="s">
        <v>134</v>
      </c>
      <c r="E479" s="40"/>
      <c r="F479" s="5"/>
      <c r="G479" s="10">
        <f t="shared" ref="G479:H480" si="66">G480</f>
        <v>0</v>
      </c>
      <c r="H479" s="10">
        <f t="shared" si="66"/>
        <v>0</v>
      </c>
    </row>
    <row r="480" spans="1:8" ht="47.25" hidden="1" x14ac:dyDescent="0.25">
      <c r="A480" s="29" t="s">
        <v>288</v>
      </c>
      <c r="B480" s="20" t="s">
        <v>1080</v>
      </c>
      <c r="C480" s="40" t="s">
        <v>507</v>
      </c>
      <c r="D480" s="40" t="s">
        <v>134</v>
      </c>
      <c r="E480" s="40" t="s">
        <v>289</v>
      </c>
      <c r="F480" s="5"/>
      <c r="G480" s="10">
        <f t="shared" si="66"/>
        <v>0</v>
      </c>
      <c r="H480" s="10">
        <f t="shared" si="66"/>
        <v>0</v>
      </c>
    </row>
    <row r="481" spans="1:8" ht="15.75" hidden="1" x14ac:dyDescent="0.25">
      <c r="A481" s="29" t="s">
        <v>290</v>
      </c>
      <c r="B481" s="20" t="s">
        <v>1080</v>
      </c>
      <c r="C481" s="40" t="s">
        <v>507</v>
      </c>
      <c r="D481" s="40" t="s">
        <v>134</v>
      </c>
      <c r="E481" s="40" t="s">
        <v>291</v>
      </c>
      <c r="F481" s="5"/>
      <c r="G481" s="10">
        <f>'пр.5.1.ведом.21-22'!G801</f>
        <v>0</v>
      </c>
      <c r="H481" s="10">
        <f>'пр.5.1.ведом.21-22'!H801</f>
        <v>0</v>
      </c>
    </row>
    <row r="482" spans="1:8" ht="47.25" hidden="1" x14ac:dyDescent="0.25">
      <c r="A482" s="70" t="s">
        <v>496</v>
      </c>
      <c r="B482" s="20" t="s">
        <v>1080</v>
      </c>
      <c r="C482" s="40" t="s">
        <v>507</v>
      </c>
      <c r="D482" s="40" t="s">
        <v>134</v>
      </c>
      <c r="E482" s="40" t="s">
        <v>291</v>
      </c>
      <c r="F482" s="5">
        <v>907</v>
      </c>
      <c r="G482" s="10">
        <f>G481</f>
        <v>0</v>
      </c>
      <c r="H482" s="10">
        <f>H481</f>
        <v>0</v>
      </c>
    </row>
    <row r="483" spans="1:8" ht="15.75" x14ac:dyDescent="0.25">
      <c r="A483" s="25" t="s">
        <v>876</v>
      </c>
      <c r="B483" s="20" t="s">
        <v>1081</v>
      </c>
      <c r="C483" s="40" t="s">
        <v>507</v>
      </c>
      <c r="D483" s="40" t="s">
        <v>134</v>
      </c>
      <c r="E483" s="40"/>
      <c r="F483" s="5"/>
      <c r="G483" s="10">
        <f>G484</f>
        <v>36</v>
      </c>
      <c r="H483" s="10">
        <f>H484</f>
        <v>36</v>
      </c>
    </row>
    <row r="484" spans="1:8" ht="47.25" x14ac:dyDescent="0.25">
      <c r="A484" s="25" t="s">
        <v>288</v>
      </c>
      <c r="B484" s="20" t="s">
        <v>1081</v>
      </c>
      <c r="C484" s="40" t="s">
        <v>507</v>
      </c>
      <c r="D484" s="40" t="s">
        <v>134</v>
      </c>
      <c r="E484" s="40" t="s">
        <v>289</v>
      </c>
      <c r="F484" s="5"/>
      <c r="G484" s="10">
        <f>G485</f>
        <v>36</v>
      </c>
      <c r="H484" s="10">
        <f>H485</f>
        <v>36</v>
      </c>
    </row>
    <row r="485" spans="1:8" ht="15.75" x14ac:dyDescent="0.25">
      <c r="A485" s="25" t="s">
        <v>290</v>
      </c>
      <c r="B485" s="20" t="s">
        <v>1081</v>
      </c>
      <c r="C485" s="40" t="s">
        <v>507</v>
      </c>
      <c r="D485" s="40" t="s">
        <v>134</v>
      </c>
      <c r="E485" s="40" t="s">
        <v>291</v>
      </c>
      <c r="F485" s="5"/>
      <c r="G485" s="10">
        <f>'пр.5.1.ведом.21-22'!G804</f>
        <v>36</v>
      </c>
      <c r="H485" s="10">
        <f>'пр.5.1.ведом.21-22'!H804</f>
        <v>36</v>
      </c>
    </row>
    <row r="486" spans="1:8" ht="47.25" x14ac:dyDescent="0.25">
      <c r="A486" s="70" t="s">
        <v>496</v>
      </c>
      <c r="B486" s="20" t="s">
        <v>1081</v>
      </c>
      <c r="C486" s="40" t="s">
        <v>507</v>
      </c>
      <c r="D486" s="40" t="s">
        <v>134</v>
      </c>
      <c r="E486" s="40" t="s">
        <v>291</v>
      </c>
      <c r="F486" s="5">
        <v>907</v>
      </c>
      <c r="G486" s="10">
        <f>G485</f>
        <v>36</v>
      </c>
      <c r="H486" s="10">
        <f>H485</f>
        <v>36</v>
      </c>
    </row>
    <row r="487" spans="1:8" ht="47.25" x14ac:dyDescent="0.25">
      <c r="A487" s="23" t="s">
        <v>1076</v>
      </c>
      <c r="B487" s="24" t="s">
        <v>1078</v>
      </c>
      <c r="C487" s="7"/>
      <c r="D487" s="7"/>
      <c r="E487" s="7"/>
      <c r="F487" s="207"/>
      <c r="G487" s="59">
        <f>G488</f>
        <v>756</v>
      </c>
      <c r="H487" s="59">
        <f>H488</f>
        <v>756</v>
      </c>
    </row>
    <row r="488" spans="1:8" ht="15.75" x14ac:dyDescent="0.25">
      <c r="A488" s="29" t="s">
        <v>506</v>
      </c>
      <c r="B488" s="40" t="s">
        <v>1078</v>
      </c>
      <c r="C488" s="2">
        <v>11</v>
      </c>
      <c r="D488" s="68"/>
      <c r="E488" s="68"/>
      <c r="F488" s="68"/>
      <c r="G488" s="10">
        <f t="shared" ref="G488:H488" si="67">G489</f>
        <v>756</v>
      </c>
      <c r="H488" s="10">
        <f t="shared" si="67"/>
        <v>756</v>
      </c>
    </row>
    <row r="489" spans="1:8" ht="16.5" x14ac:dyDescent="0.25">
      <c r="A489" s="29" t="s">
        <v>508</v>
      </c>
      <c r="B489" s="40" t="s">
        <v>1078</v>
      </c>
      <c r="C489" s="40" t="s">
        <v>507</v>
      </c>
      <c r="D489" s="40" t="s">
        <v>134</v>
      </c>
      <c r="E489" s="71"/>
      <c r="F489" s="5"/>
      <c r="G489" s="10">
        <f>G490+G494</f>
        <v>756</v>
      </c>
      <c r="H489" s="10">
        <f>H490+H494</f>
        <v>756</v>
      </c>
    </row>
    <row r="490" spans="1:8" ht="31.5" hidden="1" x14ac:dyDescent="0.25">
      <c r="A490" s="29" t="s">
        <v>300</v>
      </c>
      <c r="B490" s="20" t="s">
        <v>1082</v>
      </c>
      <c r="C490" s="40" t="s">
        <v>507</v>
      </c>
      <c r="D490" s="40" t="s">
        <v>134</v>
      </c>
      <c r="E490" s="40"/>
      <c r="F490" s="5"/>
      <c r="G490" s="10">
        <f t="shared" ref="G490:H491" si="68">G491</f>
        <v>0</v>
      </c>
      <c r="H490" s="10">
        <f t="shared" si="68"/>
        <v>0</v>
      </c>
    </row>
    <row r="491" spans="1:8" ht="47.25" hidden="1" x14ac:dyDescent="0.25">
      <c r="A491" s="29" t="s">
        <v>288</v>
      </c>
      <c r="B491" s="20" t="s">
        <v>1082</v>
      </c>
      <c r="C491" s="40" t="s">
        <v>507</v>
      </c>
      <c r="D491" s="40" t="s">
        <v>134</v>
      </c>
      <c r="E491" s="40" t="s">
        <v>289</v>
      </c>
      <c r="F491" s="5"/>
      <c r="G491" s="10">
        <f t="shared" si="68"/>
        <v>0</v>
      </c>
      <c r="H491" s="10">
        <f t="shared" si="68"/>
        <v>0</v>
      </c>
    </row>
    <row r="492" spans="1:8" ht="15.75" hidden="1" x14ac:dyDescent="0.25">
      <c r="A492" s="29" t="s">
        <v>290</v>
      </c>
      <c r="B492" s="20" t="s">
        <v>1082</v>
      </c>
      <c r="C492" s="40" t="s">
        <v>507</v>
      </c>
      <c r="D492" s="40" t="s">
        <v>134</v>
      </c>
      <c r="E492" s="40" t="s">
        <v>291</v>
      </c>
      <c r="F492" s="5"/>
      <c r="G492" s="10">
        <f>'пр.5.1.ведом.21-22'!G808</f>
        <v>0</v>
      </c>
      <c r="H492" s="10">
        <f>'пр.5.1.ведом.21-22'!H808</f>
        <v>0</v>
      </c>
    </row>
    <row r="493" spans="1:8" ht="47.25" hidden="1" x14ac:dyDescent="0.25">
      <c r="A493" s="70" t="s">
        <v>496</v>
      </c>
      <c r="B493" s="20" t="s">
        <v>1082</v>
      </c>
      <c r="C493" s="40" t="s">
        <v>507</v>
      </c>
      <c r="D493" s="40" t="s">
        <v>134</v>
      </c>
      <c r="E493" s="40" t="s">
        <v>291</v>
      </c>
      <c r="F493" s="5">
        <v>907</v>
      </c>
      <c r="G493" s="10">
        <f>G492</f>
        <v>0</v>
      </c>
      <c r="H493" s="10">
        <f>H492</f>
        <v>0</v>
      </c>
    </row>
    <row r="494" spans="1:8" ht="47.25" x14ac:dyDescent="0.25">
      <c r="A494" s="45" t="s">
        <v>787</v>
      </c>
      <c r="B494" s="20" t="s">
        <v>1083</v>
      </c>
      <c r="C494" s="40" t="s">
        <v>507</v>
      </c>
      <c r="D494" s="40" t="s">
        <v>134</v>
      </c>
      <c r="E494" s="40"/>
      <c r="F494" s="5"/>
      <c r="G494" s="10">
        <f t="shared" ref="G494:H495" si="69">G495</f>
        <v>756</v>
      </c>
      <c r="H494" s="10">
        <f t="shared" si="69"/>
        <v>756</v>
      </c>
    </row>
    <row r="495" spans="1:8" ht="47.25" x14ac:dyDescent="0.25">
      <c r="A495" s="31" t="s">
        <v>288</v>
      </c>
      <c r="B495" s="20" t="s">
        <v>1083</v>
      </c>
      <c r="C495" s="40" t="s">
        <v>507</v>
      </c>
      <c r="D495" s="40" t="s">
        <v>134</v>
      </c>
      <c r="E495" s="40" t="s">
        <v>289</v>
      </c>
      <c r="F495" s="5"/>
      <c r="G495" s="10">
        <f t="shared" si="69"/>
        <v>756</v>
      </c>
      <c r="H495" s="10">
        <f t="shared" si="69"/>
        <v>756</v>
      </c>
    </row>
    <row r="496" spans="1:8" ht="15.75" x14ac:dyDescent="0.25">
      <c r="A496" s="31" t="s">
        <v>290</v>
      </c>
      <c r="B496" s="20" t="s">
        <v>1083</v>
      </c>
      <c r="C496" s="40" t="s">
        <v>507</v>
      </c>
      <c r="D496" s="40" t="s">
        <v>134</v>
      </c>
      <c r="E496" s="40" t="s">
        <v>291</v>
      </c>
      <c r="F496" s="5"/>
      <c r="G496" s="10">
        <f>'пр.5.1.ведом.21-22'!G811</f>
        <v>756</v>
      </c>
      <c r="H496" s="10">
        <f>'пр.5.1.ведом.21-22'!H811</f>
        <v>756</v>
      </c>
    </row>
    <row r="497" spans="1:8" ht="47.25" x14ac:dyDescent="0.25">
      <c r="A497" s="70" t="s">
        <v>496</v>
      </c>
      <c r="B497" s="20" t="s">
        <v>1083</v>
      </c>
      <c r="C497" s="40" t="s">
        <v>507</v>
      </c>
      <c r="D497" s="40" t="s">
        <v>134</v>
      </c>
      <c r="E497" s="40" t="s">
        <v>291</v>
      </c>
      <c r="F497" s="5">
        <v>907</v>
      </c>
      <c r="G497" s="10">
        <f>G496</f>
        <v>756</v>
      </c>
      <c r="H497" s="10">
        <f>H496</f>
        <v>756</v>
      </c>
    </row>
    <row r="498" spans="1:8" ht="47.25" x14ac:dyDescent="0.25">
      <c r="A498" s="23" t="s">
        <v>971</v>
      </c>
      <c r="B498" s="24" t="s">
        <v>1084</v>
      </c>
      <c r="C498" s="7"/>
      <c r="D498" s="7"/>
      <c r="E498" s="7"/>
      <c r="F498" s="207"/>
      <c r="G498" s="59">
        <f>G499</f>
        <v>813.5</v>
      </c>
      <c r="H498" s="59">
        <f>H499</f>
        <v>813.5</v>
      </c>
    </row>
    <row r="499" spans="1:8" ht="15.75" x14ac:dyDescent="0.25">
      <c r="A499" s="29" t="s">
        <v>506</v>
      </c>
      <c r="B499" s="40" t="s">
        <v>1084</v>
      </c>
      <c r="C499" s="2">
        <v>11</v>
      </c>
      <c r="D499" s="68"/>
      <c r="E499" s="68"/>
      <c r="F499" s="68"/>
      <c r="G499" s="10">
        <f t="shared" ref="G499:H499" si="70">G500</f>
        <v>813.5</v>
      </c>
      <c r="H499" s="10">
        <f t="shared" si="70"/>
        <v>813.5</v>
      </c>
    </row>
    <row r="500" spans="1:8" ht="16.5" x14ac:dyDescent="0.25">
      <c r="A500" s="29" t="s">
        <v>508</v>
      </c>
      <c r="B500" s="40" t="s">
        <v>1084</v>
      </c>
      <c r="C500" s="40" t="s">
        <v>507</v>
      </c>
      <c r="D500" s="40" t="s">
        <v>134</v>
      </c>
      <c r="E500" s="71"/>
      <c r="F500" s="5"/>
      <c r="G500" s="10">
        <f t="shared" ref="G500:H502" si="71">G501</f>
        <v>813.5</v>
      </c>
      <c r="H500" s="10">
        <f t="shared" si="71"/>
        <v>813.5</v>
      </c>
    </row>
    <row r="501" spans="1:8" ht="110.25" x14ac:dyDescent="0.25">
      <c r="A501" s="31" t="s">
        <v>309</v>
      </c>
      <c r="B501" s="20" t="s">
        <v>1521</v>
      </c>
      <c r="C501" s="40" t="s">
        <v>507</v>
      </c>
      <c r="D501" s="40" t="s">
        <v>134</v>
      </c>
      <c r="E501" s="40"/>
      <c r="F501" s="5"/>
      <c r="G501" s="10">
        <f t="shared" si="71"/>
        <v>813.5</v>
      </c>
      <c r="H501" s="10">
        <f t="shared" si="71"/>
        <v>813.5</v>
      </c>
    </row>
    <row r="502" spans="1:8" ht="47.25" x14ac:dyDescent="0.25">
      <c r="A502" s="25" t="s">
        <v>288</v>
      </c>
      <c r="B502" s="338" t="s">
        <v>1521</v>
      </c>
      <c r="C502" s="40" t="s">
        <v>507</v>
      </c>
      <c r="D502" s="40" t="s">
        <v>134</v>
      </c>
      <c r="E502" s="40" t="s">
        <v>289</v>
      </c>
      <c r="F502" s="5"/>
      <c r="G502" s="10">
        <f t="shared" si="71"/>
        <v>813.5</v>
      </c>
      <c r="H502" s="10">
        <f t="shared" si="71"/>
        <v>813.5</v>
      </c>
    </row>
    <row r="503" spans="1:8" ht="15.75" x14ac:dyDescent="0.25">
      <c r="A503" s="25" t="s">
        <v>290</v>
      </c>
      <c r="B503" s="338" t="s">
        <v>1521</v>
      </c>
      <c r="C503" s="40" t="s">
        <v>507</v>
      </c>
      <c r="D503" s="40" t="s">
        <v>134</v>
      </c>
      <c r="E503" s="40" t="s">
        <v>291</v>
      </c>
      <c r="F503" s="5"/>
      <c r="G503" s="10">
        <f>'пр.5.1.ведом.21-22'!G815</f>
        <v>813.5</v>
      </c>
      <c r="H503" s="10">
        <f>'пр.5.1.ведом.21-22'!H815</f>
        <v>813.5</v>
      </c>
    </row>
    <row r="504" spans="1:8" ht="47.25" x14ac:dyDescent="0.25">
      <c r="A504" s="70" t="s">
        <v>496</v>
      </c>
      <c r="B504" s="338" t="s">
        <v>1521</v>
      </c>
      <c r="C504" s="40" t="s">
        <v>507</v>
      </c>
      <c r="D504" s="40" t="s">
        <v>134</v>
      </c>
      <c r="E504" s="40" t="s">
        <v>291</v>
      </c>
      <c r="F504" s="5">
        <v>907</v>
      </c>
      <c r="G504" s="10">
        <f>G503</f>
        <v>813.5</v>
      </c>
      <c r="H504" s="10">
        <f>H503</f>
        <v>813.5</v>
      </c>
    </row>
    <row r="505" spans="1:8" ht="47.25" x14ac:dyDescent="0.25">
      <c r="A505" s="58" t="s">
        <v>517</v>
      </c>
      <c r="B505" s="7" t="s">
        <v>518</v>
      </c>
      <c r="C505" s="40"/>
      <c r="D505" s="40"/>
      <c r="E505" s="7"/>
      <c r="F505" s="207"/>
      <c r="G505" s="4">
        <f t="shared" ref="G505:H508" si="72">G506</f>
        <v>2000</v>
      </c>
      <c r="H505" s="4">
        <f t="shared" si="72"/>
        <v>2000</v>
      </c>
    </row>
    <row r="506" spans="1:8" ht="51" customHeight="1" x14ac:dyDescent="0.25">
      <c r="A506" s="58" t="s">
        <v>1086</v>
      </c>
      <c r="B506" s="7" t="s">
        <v>1087</v>
      </c>
      <c r="C506" s="7"/>
      <c r="D506" s="7"/>
      <c r="E506" s="7"/>
      <c r="F506" s="207"/>
      <c r="G506" s="4">
        <f t="shared" si="72"/>
        <v>2000</v>
      </c>
      <c r="H506" s="4">
        <f t="shared" si="72"/>
        <v>2000</v>
      </c>
    </row>
    <row r="507" spans="1:8" ht="15.75" x14ac:dyDescent="0.25">
      <c r="A507" s="29" t="s">
        <v>506</v>
      </c>
      <c r="B507" s="40" t="s">
        <v>1087</v>
      </c>
      <c r="C507" s="40" t="s">
        <v>507</v>
      </c>
      <c r="D507" s="40"/>
      <c r="E507" s="40"/>
      <c r="F507" s="5"/>
      <c r="G507" s="6">
        <f t="shared" si="72"/>
        <v>2000</v>
      </c>
      <c r="H507" s="6">
        <f t="shared" si="72"/>
        <v>2000</v>
      </c>
    </row>
    <row r="508" spans="1:8" ht="31.5" x14ac:dyDescent="0.25">
      <c r="A508" s="25" t="s">
        <v>516</v>
      </c>
      <c r="B508" s="40" t="s">
        <v>1087</v>
      </c>
      <c r="C508" s="40" t="s">
        <v>507</v>
      </c>
      <c r="D508" s="40" t="s">
        <v>250</v>
      </c>
      <c r="E508" s="40"/>
      <c r="F508" s="5"/>
      <c r="G508" s="6">
        <f t="shared" si="72"/>
        <v>2000</v>
      </c>
      <c r="H508" s="6">
        <f t="shared" si="72"/>
        <v>2000</v>
      </c>
    </row>
    <row r="509" spans="1:8" ht="31.5" x14ac:dyDescent="0.25">
      <c r="A509" s="29" t="s">
        <v>1088</v>
      </c>
      <c r="B509" s="40" t="s">
        <v>1236</v>
      </c>
      <c r="C509" s="40" t="s">
        <v>507</v>
      </c>
      <c r="D509" s="40" t="s">
        <v>250</v>
      </c>
      <c r="E509" s="40"/>
      <c r="F509" s="5"/>
      <c r="G509" s="6">
        <f>G510+G513</f>
        <v>2000</v>
      </c>
      <c r="H509" s="6">
        <f>H510+H513</f>
        <v>2000</v>
      </c>
    </row>
    <row r="510" spans="1:8" ht="94.5" x14ac:dyDescent="0.25">
      <c r="A510" s="25" t="s">
        <v>143</v>
      </c>
      <c r="B510" s="40" t="s">
        <v>1236</v>
      </c>
      <c r="C510" s="40" t="s">
        <v>507</v>
      </c>
      <c r="D510" s="40" t="s">
        <v>250</v>
      </c>
      <c r="E510" s="40" t="s">
        <v>144</v>
      </c>
      <c r="F510" s="5"/>
      <c r="G510" s="6">
        <f t="shared" ref="G510:H510" si="73">G511</f>
        <v>1500</v>
      </c>
      <c r="H510" s="6">
        <f t="shared" si="73"/>
        <v>1500</v>
      </c>
    </row>
    <row r="511" spans="1:8" ht="31.5" x14ac:dyDescent="0.25">
      <c r="A511" s="25" t="s">
        <v>358</v>
      </c>
      <c r="B511" s="40" t="s">
        <v>1236</v>
      </c>
      <c r="C511" s="40" t="s">
        <v>507</v>
      </c>
      <c r="D511" s="40" t="s">
        <v>250</v>
      </c>
      <c r="E511" s="40" t="s">
        <v>225</v>
      </c>
      <c r="F511" s="5"/>
      <c r="G511" s="6">
        <f>'пр.5.1.ведом.21-22'!G847</f>
        <v>1500</v>
      </c>
      <c r="H511" s="6">
        <f>'пр.5.1.ведом.21-22'!H847</f>
        <v>1500</v>
      </c>
    </row>
    <row r="512" spans="1:8" ht="47.25" x14ac:dyDescent="0.25">
      <c r="A512" s="70" t="s">
        <v>496</v>
      </c>
      <c r="B512" s="40" t="s">
        <v>1236</v>
      </c>
      <c r="C512" s="40" t="s">
        <v>507</v>
      </c>
      <c r="D512" s="40" t="s">
        <v>250</v>
      </c>
      <c r="E512" s="40" t="s">
        <v>225</v>
      </c>
      <c r="F512" s="5">
        <v>907</v>
      </c>
      <c r="G512" s="10">
        <f>G511</f>
        <v>1500</v>
      </c>
      <c r="H512" s="10">
        <f>H511</f>
        <v>1500</v>
      </c>
    </row>
    <row r="513" spans="1:8" ht="31.5" x14ac:dyDescent="0.25">
      <c r="A513" s="29" t="s">
        <v>147</v>
      </c>
      <c r="B513" s="40" t="s">
        <v>1236</v>
      </c>
      <c r="C513" s="40" t="s">
        <v>507</v>
      </c>
      <c r="D513" s="40" t="s">
        <v>250</v>
      </c>
      <c r="E513" s="40" t="s">
        <v>148</v>
      </c>
      <c r="F513" s="5"/>
      <c r="G513" s="6">
        <f t="shared" ref="G513:H513" si="74">G514</f>
        <v>500</v>
      </c>
      <c r="H513" s="6">
        <f t="shared" si="74"/>
        <v>500</v>
      </c>
    </row>
    <row r="514" spans="1:8" ht="47.25" x14ac:dyDescent="0.25">
      <c r="A514" s="29" t="s">
        <v>149</v>
      </c>
      <c r="B514" s="40" t="s">
        <v>1236</v>
      </c>
      <c r="C514" s="40" t="s">
        <v>507</v>
      </c>
      <c r="D514" s="40" t="s">
        <v>250</v>
      </c>
      <c r="E514" s="40" t="s">
        <v>150</v>
      </c>
      <c r="F514" s="5"/>
      <c r="G514" s="6">
        <f>'пр.5.1.ведом.21-22'!G849</f>
        <v>500</v>
      </c>
      <c r="H514" s="6">
        <f>'пр.5.1.ведом.21-22'!H849</f>
        <v>500</v>
      </c>
    </row>
    <row r="515" spans="1:8" ht="47.25" x14ac:dyDescent="0.25">
      <c r="A515" s="70" t="s">
        <v>496</v>
      </c>
      <c r="B515" s="40" t="s">
        <v>1236</v>
      </c>
      <c r="C515" s="40" t="s">
        <v>507</v>
      </c>
      <c r="D515" s="40" t="s">
        <v>250</v>
      </c>
      <c r="E515" s="40" t="s">
        <v>150</v>
      </c>
      <c r="F515" s="5">
        <v>907</v>
      </c>
      <c r="G515" s="10">
        <f>G514</f>
        <v>500</v>
      </c>
      <c r="H515" s="10">
        <f>H514</f>
        <v>500</v>
      </c>
    </row>
    <row r="516" spans="1:8" ht="47.25" x14ac:dyDescent="0.25">
      <c r="A516" s="41" t="s">
        <v>282</v>
      </c>
      <c r="B516" s="7" t="s">
        <v>283</v>
      </c>
      <c r="C516" s="72"/>
      <c r="D516" s="72"/>
      <c r="E516" s="72"/>
      <c r="F516" s="3"/>
      <c r="G516" s="59">
        <f>G517+G562+G616</f>
        <v>68780.012000000002</v>
      </c>
      <c r="H516" s="59">
        <f>H517+H562+H616</f>
        <v>66505.7</v>
      </c>
    </row>
    <row r="517" spans="1:8" ht="63" x14ac:dyDescent="0.25">
      <c r="A517" s="41" t="s">
        <v>317</v>
      </c>
      <c r="B517" s="7" t="s">
        <v>318</v>
      </c>
      <c r="C517" s="7"/>
      <c r="D517" s="7"/>
      <c r="E517" s="72"/>
      <c r="F517" s="3"/>
      <c r="G517" s="59">
        <f>G518+G531+G541+G548+G555</f>
        <v>27742.858</v>
      </c>
      <c r="H517" s="59">
        <f>H518+H531+H541+H548+H555</f>
        <v>25446.3</v>
      </c>
    </row>
    <row r="518" spans="1:8" ht="47.25" x14ac:dyDescent="0.25">
      <c r="A518" s="23" t="s">
        <v>956</v>
      </c>
      <c r="B518" s="24" t="s">
        <v>957</v>
      </c>
      <c r="C518" s="7"/>
      <c r="D518" s="7"/>
      <c r="E518" s="7"/>
      <c r="F518" s="3"/>
      <c r="G518" s="59">
        <f t="shared" ref="G518:H520" si="75">G519</f>
        <v>23784</v>
      </c>
      <c r="H518" s="59">
        <f t="shared" si="75"/>
        <v>23784</v>
      </c>
    </row>
    <row r="519" spans="1:8" ht="15.75" x14ac:dyDescent="0.25">
      <c r="A519" s="73" t="s">
        <v>314</v>
      </c>
      <c r="B519" s="40" t="s">
        <v>957</v>
      </c>
      <c r="C519" s="40" t="s">
        <v>315</v>
      </c>
      <c r="D519" s="73"/>
      <c r="E519" s="73"/>
      <c r="F519" s="2"/>
      <c r="G519" s="10">
        <f t="shared" si="75"/>
        <v>23784</v>
      </c>
      <c r="H519" s="10">
        <f t="shared" si="75"/>
        <v>23784</v>
      </c>
    </row>
    <row r="520" spans="1:8" ht="15.75" x14ac:dyDescent="0.25">
      <c r="A520" s="73" t="s">
        <v>316</v>
      </c>
      <c r="B520" s="40" t="s">
        <v>957</v>
      </c>
      <c r="C520" s="40" t="s">
        <v>315</v>
      </c>
      <c r="D520" s="40" t="s">
        <v>134</v>
      </c>
      <c r="E520" s="73"/>
      <c r="F520" s="2"/>
      <c r="G520" s="10">
        <f t="shared" si="75"/>
        <v>23784</v>
      </c>
      <c r="H520" s="10">
        <f t="shared" si="75"/>
        <v>23784</v>
      </c>
    </row>
    <row r="521" spans="1:8" ht="31.5" x14ac:dyDescent="0.25">
      <c r="A521" s="25" t="s">
        <v>832</v>
      </c>
      <c r="B521" s="20" t="s">
        <v>955</v>
      </c>
      <c r="C521" s="40" t="s">
        <v>315</v>
      </c>
      <c r="D521" s="40" t="s">
        <v>134</v>
      </c>
      <c r="E521" s="40"/>
      <c r="F521" s="2"/>
      <c r="G521" s="10">
        <f>G522+G525+G528</f>
        <v>23784</v>
      </c>
      <c r="H521" s="10">
        <f>H522+H525+H528</f>
        <v>23784</v>
      </c>
    </row>
    <row r="522" spans="1:8" ht="94.5" x14ac:dyDescent="0.25">
      <c r="A522" s="25" t="s">
        <v>143</v>
      </c>
      <c r="B522" s="20" t="s">
        <v>955</v>
      </c>
      <c r="C522" s="40" t="s">
        <v>315</v>
      </c>
      <c r="D522" s="40" t="s">
        <v>134</v>
      </c>
      <c r="E522" s="40" t="s">
        <v>144</v>
      </c>
      <c r="F522" s="2"/>
      <c r="G522" s="10">
        <f>G523</f>
        <v>20032</v>
      </c>
      <c r="H522" s="10">
        <f>H523</f>
        <v>20032</v>
      </c>
    </row>
    <row r="523" spans="1:8" ht="31.5" x14ac:dyDescent="0.25">
      <c r="A523" s="25" t="s">
        <v>224</v>
      </c>
      <c r="B523" s="20" t="s">
        <v>955</v>
      </c>
      <c r="C523" s="40" t="s">
        <v>315</v>
      </c>
      <c r="D523" s="40" t="s">
        <v>134</v>
      </c>
      <c r="E523" s="40" t="s">
        <v>225</v>
      </c>
      <c r="F523" s="2"/>
      <c r="G523" s="10">
        <f>'пр.5.1.ведом.21-22'!G348</f>
        <v>20032</v>
      </c>
      <c r="H523" s="10">
        <f>'пр.5.1.ведом.21-22'!H348</f>
        <v>20032</v>
      </c>
    </row>
    <row r="524" spans="1:8" ht="47.25" x14ac:dyDescent="0.25">
      <c r="A524" s="25" t="s">
        <v>1269</v>
      </c>
      <c r="B524" s="20" t="s">
        <v>955</v>
      </c>
      <c r="C524" s="40" t="s">
        <v>315</v>
      </c>
      <c r="D524" s="40" t="s">
        <v>134</v>
      </c>
      <c r="E524" s="40" t="s">
        <v>225</v>
      </c>
      <c r="F524" s="2">
        <v>903</v>
      </c>
      <c r="G524" s="10">
        <f>G523</f>
        <v>20032</v>
      </c>
      <c r="H524" s="10">
        <f>H523</f>
        <v>20032</v>
      </c>
    </row>
    <row r="525" spans="1:8" ht="31.5" x14ac:dyDescent="0.25">
      <c r="A525" s="25" t="s">
        <v>147</v>
      </c>
      <c r="B525" s="20" t="s">
        <v>955</v>
      </c>
      <c r="C525" s="40" t="s">
        <v>315</v>
      </c>
      <c r="D525" s="40" t="s">
        <v>134</v>
      </c>
      <c r="E525" s="40" t="s">
        <v>148</v>
      </c>
      <c r="F525" s="2"/>
      <c r="G525" s="10">
        <f>G526</f>
        <v>3715</v>
      </c>
      <c r="H525" s="10">
        <f>H526</f>
        <v>3715</v>
      </c>
    </row>
    <row r="526" spans="1:8" ht="47.25" x14ac:dyDescent="0.25">
      <c r="A526" s="25" t="s">
        <v>149</v>
      </c>
      <c r="B526" s="20" t="s">
        <v>955</v>
      </c>
      <c r="C526" s="40" t="s">
        <v>315</v>
      </c>
      <c r="D526" s="40" t="s">
        <v>134</v>
      </c>
      <c r="E526" s="40" t="s">
        <v>150</v>
      </c>
      <c r="F526" s="2"/>
      <c r="G526" s="10">
        <f>'пр.5.1.ведом.21-22'!G350</f>
        <v>3715</v>
      </c>
      <c r="H526" s="10">
        <f>'пр.5.1.ведом.21-22'!H350</f>
        <v>3715</v>
      </c>
    </row>
    <row r="527" spans="1:8" ht="47.25" x14ac:dyDescent="0.25">
      <c r="A527" s="25" t="s">
        <v>1269</v>
      </c>
      <c r="B527" s="20" t="s">
        <v>955</v>
      </c>
      <c r="C527" s="40" t="s">
        <v>315</v>
      </c>
      <c r="D527" s="40" t="s">
        <v>134</v>
      </c>
      <c r="E527" s="40" t="s">
        <v>150</v>
      </c>
      <c r="F527" s="2">
        <v>903</v>
      </c>
      <c r="G527" s="10">
        <f>G526</f>
        <v>3715</v>
      </c>
      <c r="H527" s="10">
        <f>H526</f>
        <v>3715</v>
      </c>
    </row>
    <row r="528" spans="1:8" ht="15.75" x14ac:dyDescent="0.25">
      <c r="A528" s="25" t="s">
        <v>151</v>
      </c>
      <c r="B528" s="20" t="s">
        <v>955</v>
      </c>
      <c r="C528" s="40" t="s">
        <v>315</v>
      </c>
      <c r="D528" s="40" t="s">
        <v>134</v>
      </c>
      <c r="E528" s="40" t="s">
        <v>161</v>
      </c>
      <c r="F528" s="2"/>
      <c r="G528" s="10">
        <f>G529</f>
        <v>37</v>
      </c>
      <c r="H528" s="10">
        <f>H529</f>
        <v>37</v>
      </c>
    </row>
    <row r="529" spans="1:8" ht="15.75" x14ac:dyDescent="0.25">
      <c r="A529" s="25" t="s">
        <v>153</v>
      </c>
      <c r="B529" s="20" t="s">
        <v>955</v>
      </c>
      <c r="C529" s="40" t="s">
        <v>315</v>
      </c>
      <c r="D529" s="40" t="s">
        <v>134</v>
      </c>
      <c r="E529" s="40" t="s">
        <v>154</v>
      </c>
      <c r="F529" s="2"/>
      <c r="G529" s="10">
        <f>'пр.5.1.ведом.21-22'!G352</f>
        <v>37</v>
      </c>
      <c r="H529" s="10">
        <f>'пр.5.1.ведом.21-22'!H352</f>
        <v>37</v>
      </c>
    </row>
    <row r="530" spans="1:8" ht="47.25" x14ac:dyDescent="0.25">
      <c r="A530" s="25" t="s">
        <v>1269</v>
      </c>
      <c r="B530" s="20" t="s">
        <v>955</v>
      </c>
      <c r="C530" s="40" t="s">
        <v>315</v>
      </c>
      <c r="D530" s="40" t="s">
        <v>134</v>
      </c>
      <c r="E530" s="40" t="s">
        <v>154</v>
      </c>
      <c r="F530" s="2">
        <v>903</v>
      </c>
      <c r="G530" s="10">
        <f>G529</f>
        <v>37</v>
      </c>
      <c r="H530" s="10">
        <f>H529</f>
        <v>37</v>
      </c>
    </row>
    <row r="531" spans="1:8" ht="47.25" x14ac:dyDescent="0.25">
      <c r="A531" s="229" t="s">
        <v>970</v>
      </c>
      <c r="B531" s="24" t="s">
        <v>958</v>
      </c>
      <c r="C531" s="7"/>
      <c r="D531" s="7"/>
      <c r="E531" s="7"/>
      <c r="F531" s="3"/>
      <c r="G531" s="59">
        <f>G534+G538</f>
        <v>250</v>
      </c>
      <c r="H531" s="59">
        <f>H534+H538</f>
        <v>250</v>
      </c>
    </row>
    <row r="532" spans="1:8" ht="15.75" x14ac:dyDescent="0.25">
      <c r="A532" s="73" t="s">
        <v>314</v>
      </c>
      <c r="B532" s="40" t="s">
        <v>958</v>
      </c>
      <c r="C532" s="40" t="s">
        <v>315</v>
      </c>
      <c r="D532" s="73"/>
      <c r="E532" s="73"/>
      <c r="F532" s="2"/>
      <c r="G532" s="10">
        <f>G533</f>
        <v>250</v>
      </c>
      <c r="H532" s="10">
        <f>H533</f>
        <v>250</v>
      </c>
    </row>
    <row r="533" spans="1:8" ht="15.75" x14ac:dyDescent="0.25">
      <c r="A533" s="73" t="s">
        <v>316</v>
      </c>
      <c r="B533" s="40" t="s">
        <v>958</v>
      </c>
      <c r="C533" s="40" t="s">
        <v>315</v>
      </c>
      <c r="D533" s="40" t="s">
        <v>134</v>
      </c>
      <c r="E533" s="73"/>
      <c r="F533" s="2"/>
      <c r="G533" s="10">
        <f>G534+G538</f>
        <v>250</v>
      </c>
      <c r="H533" s="10">
        <f>H534+H538</f>
        <v>250</v>
      </c>
    </row>
    <row r="534" spans="1:8" ht="47.25" hidden="1" x14ac:dyDescent="0.25">
      <c r="A534" s="31" t="s">
        <v>860</v>
      </c>
      <c r="B534" s="20" t="s">
        <v>959</v>
      </c>
      <c r="C534" s="40" t="s">
        <v>315</v>
      </c>
      <c r="D534" s="40" t="s">
        <v>134</v>
      </c>
      <c r="E534" s="40"/>
      <c r="F534" s="2"/>
      <c r="G534" s="10">
        <f>G535</f>
        <v>0</v>
      </c>
      <c r="H534" s="10">
        <f>H535</f>
        <v>0</v>
      </c>
    </row>
    <row r="535" spans="1:8" ht="94.5" hidden="1" x14ac:dyDescent="0.25">
      <c r="A535" s="25" t="s">
        <v>143</v>
      </c>
      <c r="B535" s="20" t="s">
        <v>959</v>
      </c>
      <c r="C535" s="40" t="s">
        <v>315</v>
      </c>
      <c r="D535" s="40" t="s">
        <v>134</v>
      </c>
      <c r="E535" s="40" t="s">
        <v>144</v>
      </c>
      <c r="F535" s="2"/>
      <c r="G535" s="10">
        <f>G536</f>
        <v>0</v>
      </c>
      <c r="H535" s="10">
        <f>H536</f>
        <v>0</v>
      </c>
    </row>
    <row r="536" spans="1:8" ht="31.5" hidden="1" x14ac:dyDescent="0.25">
      <c r="A536" s="25" t="s">
        <v>224</v>
      </c>
      <c r="B536" s="20" t="s">
        <v>959</v>
      </c>
      <c r="C536" s="40" t="s">
        <v>315</v>
      </c>
      <c r="D536" s="40" t="s">
        <v>134</v>
      </c>
      <c r="E536" s="40" t="s">
        <v>225</v>
      </c>
      <c r="F536" s="2"/>
      <c r="G536" s="10">
        <f>'пр.5.1.ведом.21-22'!G356</f>
        <v>0</v>
      </c>
      <c r="H536" s="10">
        <f>'пр.5.1.ведом.21-22'!H356</f>
        <v>0</v>
      </c>
    </row>
    <row r="537" spans="1:8" ht="47.25" hidden="1" x14ac:dyDescent="0.25">
      <c r="A537" s="25" t="s">
        <v>1269</v>
      </c>
      <c r="B537" s="20" t="s">
        <v>959</v>
      </c>
      <c r="C537" s="40" t="s">
        <v>315</v>
      </c>
      <c r="D537" s="40" t="s">
        <v>134</v>
      </c>
      <c r="E537" s="40" t="s">
        <v>225</v>
      </c>
      <c r="F537" s="2">
        <v>903</v>
      </c>
      <c r="G537" s="10">
        <f>G536</f>
        <v>0</v>
      </c>
      <c r="H537" s="10">
        <f>H536</f>
        <v>0</v>
      </c>
    </row>
    <row r="538" spans="1:8" ht="31.5" x14ac:dyDescent="0.25">
      <c r="A538" s="25" t="s">
        <v>147</v>
      </c>
      <c r="B538" s="20" t="s">
        <v>959</v>
      </c>
      <c r="C538" s="40" t="s">
        <v>315</v>
      </c>
      <c r="D538" s="40" t="s">
        <v>134</v>
      </c>
      <c r="E538" s="40" t="s">
        <v>148</v>
      </c>
      <c r="F538" s="2"/>
      <c r="G538" s="10">
        <f>G539</f>
        <v>250</v>
      </c>
      <c r="H538" s="10">
        <f>H539</f>
        <v>250</v>
      </c>
    </row>
    <row r="539" spans="1:8" ht="47.25" x14ac:dyDescent="0.25">
      <c r="A539" s="25" t="s">
        <v>149</v>
      </c>
      <c r="B539" s="20" t="s">
        <v>959</v>
      </c>
      <c r="C539" s="40" t="s">
        <v>315</v>
      </c>
      <c r="D539" s="40" t="s">
        <v>134</v>
      </c>
      <c r="E539" s="40" t="s">
        <v>150</v>
      </c>
      <c r="F539" s="2"/>
      <c r="G539" s="10">
        <f>'пр.5.1.ведом.21-22'!G358</f>
        <v>250</v>
      </c>
      <c r="H539" s="10">
        <f>'пр.5.1.ведом.21-22'!H358</f>
        <v>250</v>
      </c>
    </row>
    <row r="540" spans="1:8" ht="47.25" x14ac:dyDescent="0.25">
      <c r="A540" s="25" t="s">
        <v>1269</v>
      </c>
      <c r="B540" s="20" t="s">
        <v>959</v>
      </c>
      <c r="C540" s="40" t="s">
        <v>315</v>
      </c>
      <c r="D540" s="40" t="s">
        <v>134</v>
      </c>
      <c r="E540" s="40" t="s">
        <v>150</v>
      </c>
      <c r="F540" s="2">
        <v>903</v>
      </c>
      <c r="G540" s="10">
        <f>G539</f>
        <v>250</v>
      </c>
      <c r="H540" s="10">
        <f>H539</f>
        <v>250</v>
      </c>
    </row>
    <row r="541" spans="1:8" ht="47.25" x14ac:dyDescent="0.25">
      <c r="A541" s="23" t="s">
        <v>1076</v>
      </c>
      <c r="B541" s="24" t="s">
        <v>1164</v>
      </c>
      <c r="C541" s="7"/>
      <c r="D541" s="7"/>
      <c r="E541" s="7"/>
      <c r="F541" s="3"/>
      <c r="G541" s="59">
        <f>G544</f>
        <v>588</v>
      </c>
      <c r="H541" s="59">
        <f>H544</f>
        <v>588</v>
      </c>
    </row>
    <row r="542" spans="1:8" ht="15.75" x14ac:dyDescent="0.25">
      <c r="A542" s="73" t="s">
        <v>314</v>
      </c>
      <c r="B542" s="40" t="s">
        <v>1164</v>
      </c>
      <c r="C542" s="40" t="s">
        <v>315</v>
      </c>
      <c r="D542" s="73"/>
      <c r="E542" s="73"/>
      <c r="F542" s="2"/>
      <c r="G542" s="10">
        <f>G543</f>
        <v>1412.3</v>
      </c>
      <c r="H542" s="10">
        <f>H543</f>
        <v>1412.3</v>
      </c>
    </row>
    <row r="543" spans="1:8" ht="15.75" x14ac:dyDescent="0.25">
      <c r="A543" s="73" t="s">
        <v>316</v>
      </c>
      <c r="B543" s="40" t="s">
        <v>1164</v>
      </c>
      <c r="C543" s="40" t="s">
        <v>315</v>
      </c>
      <c r="D543" s="40" t="s">
        <v>134</v>
      </c>
      <c r="E543" s="73"/>
      <c r="F543" s="2"/>
      <c r="G543" s="10">
        <f>G544+G548</f>
        <v>1412.3</v>
      </c>
      <c r="H543" s="10">
        <f>H544+H548</f>
        <v>1412.3</v>
      </c>
    </row>
    <row r="544" spans="1:8" ht="47.25" x14ac:dyDescent="0.25">
      <c r="A544" s="25" t="s">
        <v>885</v>
      </c>
      <c r="B544" s="20" t="s">
        <v>1165</v>
      </c>
      <c r="C544" s="40" t="s">
        <v>315</v>
      </c>
      <c r="D544" s="40" t="s">
        <v>134</v>
      </c>
      <c r="E544" s="40"/>
      <c r="F544" s="2"/>
      <c r="G544" s="10">
        <f>G545</f>
        <v>588</v>
      </c>
      <c r="H544" s="10">
        <f>H545</f>
        <v>588</v>
      </c>
    </row>
    <row r="545" spans="1:8" ht="94.5" x14ac:dyDescent="0.25">
      <c r="A545" s="25" t="s">
        <v>143</v>
      </c>
      <c r="B545" s="20" t="s">
        <v>1165</v>
      </c>
      <c r="C545" s="40" t="s">
        <v>315</v>
      </c>
      <c r="D545" s="40" t="s">
        <v>134</v>
      </c>
      <c r="E545" s="40" t="s">
        <v>144</v>
      </c>
      <c r="F545" s="2"/>
      <c r="G545" s="10">
        <f>G546</f>
        <v>588</v>
      </c>
      <c r="H545" s="10">
        <f>H546</f>
        <v>588</v>
      </c>
    </row>
    <row r="546" spans="1:8" ht="31.5" x14ac:dyDescent="0.25">
      <c r="A546" s="25" t="s">
        <v>145</v>
      </c>
      <c r="B546" s="20" t="s">
        <v>1165</v>
      </c>
      <c r="C546" s="40" t="s">
        <v>315</v>
      </c>
      <c r="D546" s="40" t="s">
        <v>134</v>
      </c>
      <c r="E546" s="40" t="s">
        <v>225</v>
      </c>
      <c r="F546" s="2"/>
      <c r="G546" s="10">
        <f>'пр.5.1.ведом.21-22'!G362</f>
        <v>588</v>
      </c>
      <c r="H546" s="10">
        <f>'пр.5.1.ведом.21-22'!H362</f>
        <v>588</v>
      </c>
    </row>
    <row r="547" spans="1:8" ht="47.25" x14ac:dyDescent="0.25">
      <c r="A547" s="25" t="s">
        <v>1269</v>
      </c>
      <c r="B547" s="20" t="s">
        <v>1165</v>
      </c>
      <c r="C547" s="40" t="s">
        <v>315</v>
      </c>
      <c r="D547" s="40" t="s">
        <v>134</v>
      </c>
      <c r="E547" s="40" t="s">
        <v>225</v>
      </c>
      <c r="F547" s="2">
        <v>903</v>
      </c>
      <c r="G547" s="10">
        <f>G546</f>
        <v>588</v>
      </c>
      <c r="H547" s="10">
        <f>H546</f>
        <v>588</v>
      </c>
    </row>
    <row r="548" spans="1:8" ht="47.25" x14ac:dyDescent="0.25">
      <c r="A548" s="230" t="s">
        <v>971</v>
      </c>
      <c r="B548" s="24" t="s">
        <v>1166</v>
      </c>
      <c r="C548" s="7"/>
      <c r="D548" s="7"/>
      <c r="E548" s="7"/>
      <c r="F548" s="3"/>
      <c r="G548" s="59">
        <f>G551</f>
        <v>824.3</v>
      </c>
      <c r="H548" s="59">
        <f>H551</f>
        <v>824.3</v>
      </c>
    </row>
    <row r="549" spans="1:8" ht="15.75" x14ac:dyDescent="0.25">
      <c r="A549" s="73" t="s">
        <v>314</v>
      </c>
      <c r="B549" s="40" t="s">
        <v>1166</v>
      </c>
      <c r="C549" s="40" t="s">
        <v>315</v>
      </c>
      <c r="D549" s="73"/>
      <c r="E549" s="73"/>
      <c r="F549" s="2"/>
      <c r="G549" s="10">
        <f t="shared" ref="G549:H552" si="76">G550</f>
        <v>824.3</v>
      </c>
      <c r="H549" s="10">
        <f t="shared" si="76"/>
        <v>824.3</v>
      </c>
    </row>
    <row r="550" spans="1:8" ht="15.75" x14ac:dyDescent="0.25">
      <c r="A550" s="73" t="s">
        <v>316</v>
      </c>
      <c r="B550" s="40" t="s">
        <v>1166</v>
      </c>
      <c r="C550" s="40" t="s">
        <v>315</v>
      </c>
      <c r="D550" s="40" t="s">
        <v>134</v>
      </c>
      <c r="E550" s="73"/>
      <c r="F550" s="2"/>
      <c r="G550" s="10">
        <f t="shared" si="76"/>
        <v>824.3</v>
      </c>
      <c r="H550" s="10">
        <f t="shared" si="76"/>
        <v>824.3</v>
      </c>
    </row>
    <row r="551" spans="1:8" ht="110.25" x14ac:dyDescent="0.25">
      <c r="A551" s="31" t="s">
        <v>309</v>
      </c>
      <c r="B551" s="20" t="s">
        <v>1523</v>
      </c>
      <c r="C551" s="40" t="s">
        <v>315</v>
      </c>
      <c r="D551" s="40" t="s">
        <v>134</v>
      </c>
      <c r="E551" s="40"/>
      <c r="F551" s="2"/>
      <c r="G551" s="10">
        <f t="shared" si="76"/>
        <v>824.3</v>
      </c>
      <c r="H551" s="10">
        <f t="shared" si="76"/>
        <v>824.3</v>
      </c>
    </row>
    <row r="552" spans="1:8" ht="94.5" x14ac:dyDescent="0.25">
      <c r="A552" s="25" t="s">
        <v>143</v>
      </c>
      <c r="B552" s="338" t="s">
        <v>1523</v>
      </c>
      <c r="C552" s="40" t="s">
        <v>315</v>
      </c>
      <c r="D552" s="40" t="s">
        <v>134</v>
      </c>
      <c r="E552" s="40" t="s">
        <v>144</v>
      </c>
      <c r="F552" s="2"/>
      <c r="G552" s="10">
        <f t="shared" si="76"/>
        <v>824.3</v>
      </c>
      <c r="H552" s="10">
        <f t="shared" si="76"/>
        <v>824.3</v>
      </c>
    </row>
    <row r="553" spans="1:8" ht="31.5" x14ac:dyDescent="0.25">
      <c r="A553" s="25" t="s">
        <v>224</v>
      </c>
      <c r="B553" s="338" t="s">
        <v>1523</v>
      </c>
      <c r="C553" s="40" t="s">
        <v>315</v>
      </c>
      <c r="D553" s="40" t="s">
        <v>134</v>
      </c>
      <c r="E553" s="40" t="s">
        <v>225</v>
      </c>
      <c r="F553" s="2"/>
      <c r="G553" s="10">
        <f>'пр.5.1.ведом.21-22'!G366</f>
        <v>824.3</v>
      </c>
      <c r="H553" s="10">
        <f>'пр.5.1.ведом.21-22'!H366</f>
        <v>824.3</v>
      </c>
    </row>
    <row r="554" spans="1:8" ht="47.25" x14ac:dyDescent="0.25">
      <c r="A554" s="25" t="s">
        <v>1269</v>
      </c>
      <c r="B554" s="338" t="s">
        <v>1523</v>
      </c>
      <c r="C554" s="40" t="s">
        <v>315</v>
      </c>
      <c r="D554" s="40" t="s">
        <v>134</v>
      </c>
      <c r="E554" s="40" t="s">
        <v>225</v>
      </c>
      <c r="F554" s="2">
        <v>903</v>
      </c>
      <c r="G554" s="10">
        <f>G553</f>
        <v>824.3</v>
      </c>
      <c r="H554" s="10">
        <f>H553</f>
        <v>824.3</v>
      </c>
    </row>
    <row r="555" spans="1:8" s="217" customFormat="1" ht="47.25" x14ac:dyDescent="0.25">
      <c r="A555" s="279" t="s">
        <v>1444</v>
      </c>
      <c r="B555" s="24" t="s">
        <v>1443</v>
      </c>
      <c r="C555" s="40"/>
      <c r="D555" s="73"/>
      <c r="E555" s="73"/>
      <c r="F555" s="2"/>
      <c r="G555" s="59">
        <f t="shared" ref="G555:H559" si="77">G556</f>
        <v>2296.558</v>
      </c>
      <c r="H555" s="59">
        <f t="shared" si="77"/>
        <v>0</v>
      </c>
    </row>
    <row r="556" spans="1:8" s="217" customFormat="1" ht="15.75" x14ac:dyDescent="0.25">
      <c r="A556" s="73" t="s">
        <v>314</v>
      </c>
      <c r="B556" s="20" t="s">
        <v>1443</v>
      </c>
      <c r="C556" s="40" t="s">
        <v>315</v>
      </c>
      <c r="D556" s="73"/>
      <c r="E556" s="73"/>
      <c r="F556" s="2"/>
      <c r="G556" s="10">
        <f t="shared" si="77"/>
        <v>2296.558</v>
      </c>
      <c r="H556" s="10">
        <f t="shared" si="77"/>
        <v>0</v>
      </c>
    </row>
    <row r="557" spans="1:8" s="217" customFormat="1" ht="15.75" x14ac:dyDescent="0.25">
      <c r="A557" s="73" t="s">
        <v>316</v>
      </c>
      <c r="B557" s="20" t="s">
        <v>1443</v>
      </c>
      <c r="C557" s="40" t="s">
        <v>315</v>
      </c>
      <c r="D557" s="40" t="s">
        <v>134</v>
      </c>
      <c r="E557" s="73"/>
      <c r="F557" s="2"/>
      <c r="G557" s="10">
        <f t="shared" si="77"/>
        <v>2296.558</v>
      </c>
      <c r="H557" s="10">
        <f t="shared" si="77"/>
        <v>0</v>
      </c>
    </row>
    <row r="558" spans="1:8" s="217" customFormat="1" ht="63" x14ac:dyDescent="0.25">
      <c r="A558" s="280" t="s">
        <v>1406</v>
      </c>
      <c r="B558" s="20" t="s">
        <v>1442</v>
      </c>
      <c r="C558" s="40" t="s">
        <v>315</v>
      </c>
      <c r="D558" s="40" t="s">
        <v>134</v>
      </c>
      <c r="E558" s="40"/>
      <c r="F558" s="2"/>
      <c r="G558" s="10">
        <f t="shared" si="77"/>
        <v>2296.558</v>
      </c>
      <c r="H558" s="10">
        <f t="shared" si="77"/>
        <v>0</v>
      </c>
    </row>
    <row r="559" spans="1:8" s="217" customFormat="1" ht="31.5" x14ac:dyDescent="0.25">
      <c r="A559" s="25" t="s">
        <v>147</v>
      </c>
      <c r="B559" s="20" t="s">
        <v>1442</v>
      </c>
      <c r="C559" s="40" t="s">
        <v>315</v>
      </c>
      <c r="D559" s="40" t="s">
        <v>134</v>
      </c>
      <c r="E559" s="40" t="s">
        <v>148</v>
      </c>
      <c r="F559" s="2"/>
      <c r="G559" s="10">
        <f t="shared" si="77"/>
        <v>2296.558</v>
      </c>
      <c r="H559" s="10">
        <f t="shared" si="77"/>
        <v>0</v>
      </c>
    </row>
    <row r="560" spans="1:8" s="217" customFormat="1" ht="47.25" x14ac:dyDescent="0.25">
      <c r="A560" s="25" t="s">
        <v>149</v>
      </c>
      <c r="B560" s="20" t="s">
        <v>1442</v>
      </c>
      <c r="C560" s="40" t="s">
        <v>315</v>
      </c>
      <c r="D560" s="40" t="s">
        <v>134</v>
      </c>
      <c r="E560" s="40" t="s">
        <v>150</v>
      </c>
      <c r="F560" s="2"/>
      <c r="G560" s="10">
        <f>'пр.5.1.ведом.21-22'!G370</f>
        <v>2296.558</v>
      </c>
      <c r="H560" s="10">
        <f>'пр.5.1.ведом.21-22'!H370</f>
        <v>0</v>
      </c>
    </row>
    <row r="561" spans="1:8" s="217" customFormat="1" ht="47.25" x14ac:dyDescent="0.25">
      <c r="A561" s="25" t="s">
        <v>1269</v>
      </c>
      <c r="B561" s="20" t="s">
        <v>1442</v>
      </c>
      <c r="C561" s="40" t="s">
        <v>315</v>
      </c>
      <c r="D561" s="40" t="s">
        <v>134</v>
      </c>
      <c r="E561" s="40" t="s">
        <v>150</v>
      </c>
      <c r="F561" s="2">
        <v>903</v>
      </c>
      <c r="G561" s="10">
        <f>G555</f>
        <v>2296.558</v>
      </c>
      <c r="H561" s="10">
        <f>H555</f>
        <v>0</v>
      </c>
    </row>
    <row r="562" spans="1:8" ht="47.25" x14ac:dyDescent="0.25">
      <c r="A562" s="41" t="s">
        <v>328</v>
      </c>
      <c r="B562" s="7" t="s">
        <v>329</v>
      </c>
      <c r="C562" s="7"/>
      <c r="D562" s="7"/>
      <c r="E562" s="7"/>
      <c r="F562" s="75"/>
      <c r="G562" s="59">
        <f>G563+G576+G583+G590+G601</f>
        <v>24393.454000000002</v>
      </c>
      <c r="H562" s="59">
        <f>H563+H576+H583+H590+H601</f>
        <v>24415.7</v>
      </c>
    </row>
    <row r="563" spans="1:8" ht="47.25" x14ac:dyDescent="0.25">
      <c r="A563" s="23" t="s">
        <v>956</v>
      </c>
      <c r="B563" s="24" t="s">
        <v>960</v>
      </c>
      <c r="C563" s="7"/>
      <c r="D563" s="7"/>
      <c r="E563" s="7"/>
      <c r="F563" s="3"/>
      <c r="G563" s="59">
        <f>G564</f>
        <v>22194</v>
      </c>
      <c r="H563" s="59">
        <f>H564</f>
        <v>22194</v>
      </c>
    </row>
    <row r="564" spans="1:8" ht="15.75" x14ac:dyDescent="0.25">
      <c r="A564" s="73" t="s">
        <v>314</v>
      </c>
      <c r="B564" s="40" t="s">
        <v>960</v>
      </c>
      <c r="C564" s="40" t="s">
        <v>315</v>
      </c>
      <c r="D564" s="40"/>
      <c r="E564" s="40"/>
      <c r="F564" s="74"/>
      <c r="G564" s="10">
        <f t="shared" ref="G564:H564" si="78">G565</f>
        <v>22194</v>
      </c>
      <c r="H564" s="10">
        <f t="shared" si="78"/>
        <v>22194</v>
      </c>
    </row>
    <row r="565" spans="1:8" ht="15.75" x14ac:dyDescent="0.25">
      <c r="A565" s="73" t="s">
        <v>316</v>
      </c>
      <c r="B565" s="40" t="s">
        <v>960</v>
      </c>
      <c r="C565" s="40" t="s">
        <v>315</v>
      </c>
      <c r="D565" s="40" t="s">
        <v>134</v>
      </c>
      <c r="E565" s="40"/>
      <c r="F565" s="74"/>
      <c r="G565" s="10">
        <f>G566</f>
        <v>22194</v>
      </c>
      <c r="H565" s="10">
        <f>H566</f>
        <v>22194</v>
      </c>
    </row>
    <row r="566" spans="1:8" ht="31.5" x14ac:dyDescent="0.25">
      <c r="A566" s="25" t="s">
        <v>832</v>
      </c>
      <c r="B566" s="20" t="s">
        <v>961</v>
      </c>
      <c r="C566" s="40" t="s">
        <v>315</v>
      </c>
      <c r="D566" s="40" t="s">
        <v>134</v>
      </c>
      <c r="E566" s="40"/>
      <c r="F566" s="2"/>
      <c r="G566" s="10">
        <f>G567+G570+G573</f>
        <v>22194</v>
      </c>
      <c r="H566" s="10">
        <f>H567+H570+H573</f>
        <v>22194</v>
      </c>
    </row>
    <row r="567" spans="1:8" ht="94.5" x14ac:dyDescent="0.25">
      <c r="A567" s="25" t="s">
        <v>143</v>
      </c>
      <c r="B567" s="20" t="s">
        <v>961</v>
      </c>
      <c r="C567" s="40" t="s">
        <v>315</v>
      </c>
      <c r="D567" s="40" t="s">
        <v>134</v>
      </c>
      <c r="E567" s="40" t="s">
        <v>144</v>
      </c>
      <c r="F567" s="2"/>
      <c r="G567" s="10">
        <f>G568</f>
        <v>19218</v>
      </c>
      <c r="H567" s="10">
        <f>H568</f>
        <v>19218</v>
      </c>
    </row>
    <row r="568" spans="1:8" ht="31.5" x14ac:dyDescent="0.25">
      <c r="A568" s="25" t="s">
        <v>224</v>
      </c>
      <c r="B568" s="20" t="s">
        <v>961</v>
      </c>
      <c r="C568" s="40" t="s">
        <v>315</v>
      </c>
      <c r="D568" s="40" t="s">
        <v>134</v>
      </c>
      <c r="E568" s="40" t="s">
        <v>225</v>
      </c>
      <c r="F568" s="2"/>
      <c r="G568" s="10">
        <f>'пр.5.1.ведом.21-22'!G375</f>
        <v>19218</v>
      </c>
      <c r="H568" s="10">
        <f>'пр.5.1.ведом.21-22'!H375</f>
        <v>19218</v>
      </c>
    </row>
    <row r="569" spans="1:8" ht="47.25" x14ac:dyDescent="0.25">
      <c r="A569" s="25" t="s">
        <v>1269</v>
      </c>
      <c r="B569" s="20" t="s">
        <v>961</v>
      </c>
      <c r="C569" s="40" t="s">
        <v>315</v>
      </c>
      <c r="D569" s="40" t="s">
        <v>134</v>
      </c>
      <c r="E569" s="40" t="s">
        <v>225</v>
      </c>
      <c r="F569" s="2">
        <v>903</v>
      </c>
      <c r="G569" s="10">
        <f>G568</f>
        <v>19218</v>
      </c>
      <c r="H569" s="10">
        <f>H568</f>
        <v>19218</v>
      </c>
    </row>
    <row r="570" spans="1:8" ht="31.5" x14ac:dyDescent="0.25">
      <c r="A570" s="25" t="s">
        <v>147</v>
      </c>
      <c r="B570" s="20" t="s">
        <v>961</v>
      </c>
      <c r="C570" s="40" t="s">
        <v>315</v>
      </c>
      <c r="D570" s="40" t="s">
        <v>134</v>
      </c>
      <c r="E570" s="40" t="s">
        <v>148</v>
      </c>
      <c r="F570" s="2"/>
      <c r="G570" s="10">
        <f>G571</f>
        <v>2950</v>
      </c>
      <c r="H570" s="10">
        <f>H571</f>
        <v>2950</v>
      </c>
    </row>
    <row r="571" spans="1:8" ht="47.25" x14ac:dyDescent="0.25">
      <c r="A571" s="25" t="s">
        <v>149</v>
      </c>
      <c r="B571" s="20" t="s">
        <v>961</v>
      </c>
      <c r="C571" s="40" t="s">
        <v>315</v>
      </c>
      <c r="D571" s="40" t="s">
        <v>134</v>
      </c>
      <c r="E571" s="40" t="s">
        <v>150</v>
      </c>
      <c r="F571" s="2"/>
      <c r="G571" s="10">
        <f>'пр.5.1.ведом.21-22'!G377</f>
        <v>2950</v>
      </c>
      <c r="H571" s="10">
        <f>'пр.5.1.ведом.21-22'!H377</f>
        <v>2950</v>
      </c>
    </row>
    <row r="572" spans="1:8" ht="47.25" x14ac:dyDescent="0.25">
      <c r="A572" s="25" t="s">
        <v>1269</v>
      </c>
      <c r="B572" s="20" t="s">
        <v>961</v>
      </c>
      <c r="C572" s="40" t="s">
        <v>315</v>
      </c>
      <c r="D572" s="40" t="s">
        <v>134</v>
      </c>
      <c r="E572" s="40" t="s">
        <v>150</v>
      </c>
      <c r="F572" s="2">
        <v>903</v>
      </c>
      <c r="G572" s="10">
        <f>G571</f>
        <v>2950</v>
      </c>
      <c r="H572" s="10">
        <f>H571</f>
        <v>2950</v>
      </c>
    </row>
    <row r="573" spans="1:8" ht="15.75" x14ac:dyDescent="0.25">
      <c r="A573" s="25" t="s">
        <v>151</v>
      </c>
      <c r="B573" s="20" t="s">
        <v>961</v>
      </c>
      <c r="C573" s="40" t="s">
        <v>315</v>
      </c>
      <c r="D573" s="40" t="s">
        <v>134</v>
      </c>
      <c r="E573" s="40" t="s">
        <v>161</v>
      </c>
      <c r="F573" s="2"/>
      <c r="G573" s="10">
        <f>G574</f>
        <v>26</v>
      </c>
      <c r="H573" s="10">
        <f>H574</f>
        <v>26</v>
      </c>
    </row>
    <row r="574" spans="1:8" ht="15.75" x14ac:dyDescent="0.25">
      <c r="A574" s="25" t="s">
        <v>153</v>
      </c>
      <c r="B574" s="20" t="s">
        <v>961</v>
      </c>
      <c r="C574" s="40" t="s">
        <v>315</v>
      </c>
      <c r="D574" s="40" t="s">
        <v>134</v>
      </c>
      <c r="E574" s="40" t="s">
        <v>154</v>
      </c>
      <c r="F574" s="2"/>
      <c r="G574" s="10">
        <f>'пр.5.1.ведом.21-22'!G379</f>
        <v>26</v>
      </c>
      <c r="H574" s="10">
        <f>'пр.5.1.ведом.21-22'!H379</f>
        <v>26</v>
      </c>
    </row>
    <row r="575" spans="1:8" ht="47.25" x14ac:dyDescent="0.25">
      <c r="A575" s="25" t="s">
        <v>1269</v>
      </c>
      <c r="B575" s="20" t="s">
        <v>961</v>
      </c>
      <c r="C575" s="40" t="s">
        <v>315</v>
      </c>
      <c r="D575" s="40" t="s">
        <v>134</v>
      </c>
      <c r="E575" s="40" t="s">
        <v>154</v>
      </c>
      <c r="F575" s="2">
        <v>903</v>
      </c>
      <c r="G575" s="10">
        <f>G574</f>
        <v>26</v>
      </c>
      <c r="H575" s="10">
        <f>H574</f>
        <v>26</v>
      </c>
    </row>
    <row r="576" spans="1:8" ht="35.450000000000003" customHeight="1" x14ac:dyDescent="0.25">
      <c r="A576" s="23" t="s">
        <v>973</v>
      </c>
      <c r="B576" s="24" t="s">
        <v>962</v>
      </c>
      <c r="C576" s="7"/>
      <c r="D576" s="7"/>
      <c r="E576" s="7"/>
      <c r="F576" s="3"/>
      <c r="G576" s="59">
        <f>G579</f>
        <v>27.754000000000001</v>
      </c>
      <c r="H576" s="59">
        <f>H579</f>
        <v>50</v>
      </c>
    </row>
    <row r="577" spans="1:8" ht="15.75" x14ac:dyDescent="0.25">
      <c r="A577" s="73" t="s">
        <v>314</v>
      </c>
      <c r="B577" s="40" t="s">
        <v>962</v>
      </c>
      <c r="C577" s="40" t="s">
        <v>315</v>
      </c>
      <c r="D577" s="40"/>
      <c r="E577" s="40"/>
      <c r="F577" s="74"/>
      <c r="G577" s="10">
        <f t="shared" ref="G577:H577" si="79">G578</f>
        <v>27.754000000000001</v>
      </c>
      <c r="H577" s="10">
        <f t="shared" si="79"/>
        <v>50</v>
      </c>
    </row>
    <row r="578" spans="1:8" ht="15.75" x14ac:dyDescent="0.25">
      <c r="A578" s="73" t="s">
        <v>316</v>
      </c>
      <c r="B578" s="40" t="s">
        <v>962</v>
      </c>
      <c r="C578" s="40" t="s">
        <v>315</v>
      </c>
      <c r="D578" s="40" t="s">
        <v>134</v>
      </c>
      <c r="E578" s="40"/>
      <c r="F578" s="74"/>
      <c r="G578" s="10">
        <f t="shared" ref="G578:H580" si="80">G579</f>
        <v>27.754000000000001</v>
      </c>
      <c r="H578" s="10">
        <f t="shared" si="80"/>
        <v>50</v>
      </c>
    </row>
    <row r="579" spans="1:8" ht="31.5" x14ac:dyDescent="0.25">
      <c r="A579" s="25" t="s">
        <v>866</v>
      </c>
      <c r="B579" s="20" t="s">
        <v>963</v>
      </c>
      <c r="C579" s="40" t="s">
        <v>315</v>
      </c>
      <c r="D579" s="40" t="s">
        <v>134</v>
      </c>
      <c r="E579" s="40"/>
      <c r="F579" s="2"/>
      <c r="G579" s="10">
        <f t="shared" si="80"/>
        <v>27.754000000000001</v>
      </c>
      <c r="H579" s="10">
        <f t="shared" si="80"/>
        <v>50</v>
      </c>
    </row>
    <row r="580" spans="1:8" ht="31.5" x14ac:dyDescent="0.25">
      <c r="A580" s="25" t="s">
        <v>147</v>
      </c>
      <c r="B580" s="20" t="s">
        <v>963</v>
      </c>
      <c r="C580" s="40" t="s">
        <v>315</v>
      </c>
      <c r="D580" s="40" t="s">
        <v>134</v>
      </c>
      <c r="E580" s="40" t="s">
        <v>148</v>
      </c>
      <c r="F580" s="2"/>
      <c r="G580" s="10">
        <f t="shared" si="80"/>
        <v>27.754000000000001</v>
      </c>
      <c r="H580" s="10">
        <f t="shared" si="80"/>
        <v>50</v>
      </c>
    </row>
    <row r="581" spans="1:8" ht="47.25" x14ac:dyDescent="0.25">
      <c r="A581" s="25" t="s">
        <v>149</v>
      </c>
      <c r="B581" s="20" t="s">
        <v>963</v>
      </c>
      <c r="C581" s="40" t="s">
        <v>315</v>
      </c>
      <c r="D581" s="40" t="s">
        <v>134</v>
      </c>
      <c r="E581" s="40" t="s">
        <v>150</v>
      </c>
      <c r="F581" s="2"/>
      <c r="G581" s="10">
        <f>'пр.5.1.ведом.21-22'!G383</f>
        <v>27.754000000000001</v>
      </c>
      <c r="H581" s="10">
        <f>'пр.5.1.ведом.21-22'!H383</f>
        <v>50</v>
      </c>
    </row>
    <row r="582" spans="1:8" ht="47.25" x14ac:dyDescent="0.25">
      <c r="A582" s="25" t="s">
        <v>1269</v>
      </c>
      <c r="B582" s="20" t="s">
        <v>963</v>
      </c>
      <c r="C582" s="40" t="s">
        <v>315</v>
      </c>
      <c r="D582" s="40" t="s">
        <v>134</v>
      </c>
      <c r="E582" s="40" t="s">
        <v>150</v>
      </c>
      <c r="F582" s="2">
        <v>903</v>
      </c>
      <c r="G582" s="10">
        <f>G581</f>
        <v>27.754000000000001</v>
      </c>
      <c r="H582" s="10">
        <f>H581</f>
        <v>50</v>
      </c>
    </row>
    <row r="583" spans="1:8" ht="47.25" x14ac:dyDescent="0.25">
      <c r="A583" s="23" t="s">
        <v>1076</v>
      </c>
      <c r="B583" s="24" t="s">
        <v>964</v>
      </c>
      <c r="C583" s="7"/>
      <c r="D583" s="7"/>
      <c r="E583" s="7"/>
      <c r="F583" s="3"/>
      <c r="G583" s="59">
        <f>G586</f>
        <v>507</v>
      </c>
      <c r="H583" s="59">
        <f>H586</f>
        <v>507</v>
      </c>
    </row>
    <row r="584" spans="1:8" ht="15.75" x14ac:dyDescent="0.25">
      <c r="A584" s="73" t="s">
        <v>314</v>
      </c>
      <c r="B584" s="40" t="s">
        <v>964</v>
      </c>
      <c r="C584" s="40" t="s">
        <v>315</v>
      </c>
      <c r="D584" s="40"/>
      <c r="E584" s="40"/>
      <c r="F584" s="74"/>
      <c r="G584" s="10">
        <f t="shared" ref="G584:H584" si="81">G585</f>
        <v>507</v>
      </c>
      <c r="H584" s="10">
        <f t="shared" si="81"/>
        <v>507</v>
      </c>
    </row>
    <row r="585" spans="1:8" ht="15.75" x14ac:dyDescent="0.25">
      <c r="A585" s="73" t="s">
        <v>316</v>
      </c>
      <c r="B585" s="40" t="s">
        <v>964</v>
      </c>
      <c r="C585" s="40" t="s">
        <v>315</v>
      </c>
      <c r="D585" s="40" t="s">
        <v>134</v>
      </c>
      <c r="E585" s="40"/>
      <c r="F585" s="74"/>
      <c r="G585" s="10">
        <f t="shared" ref="G585:H587" si="82">G586</f>
        <v>507</v>
      </c>
      <c r="H585" s="10">
        <f t="shared" si="82"/>
        <v>507</v>
      </c>
    </row>
    <row r="586" spans="1:8" ht="47.25" x14ac:dyDescent="0.25">
      <c r="A586" s="25" t="s">
        <v>885</v>
      </c>
      <c r="B586" s="20" t="s">
        <v>1252</v>
      </c>
      <c r="C586" s="40" t="s">
        <v>315</v>
      </c>
      <c r="D586" s="40" t="s">
        <v>134</v>
      </c>
      <c r="E586" s="40"/>
      <c r="F586" s="2"/>
      <c r="G586" s="10">
        <f t="shared" si="82"/>
        <v>507</v>
      </c>
      <c r="H586" s="10">
        <f t="shared" si="82"/>
        <v>507</v>
      </c>
    </row>
    <row r="587" spans="1:8" ht="94.5" x14ac:dyDescent="0.25">
      <c r="A587" s="25" t="s">
        <v>143</v>
      </c>
      <c r="B587" s="20" t="s">
        <v>1252</v>
      </c>
      <c r="C587" s="40" t="s">
        <v>315</v>
      </c>
      <c r="D587" s="40" t="s">
        <v>134</v>
      </c>
      <c r="E587" s="40" t="s">
        <v>144</v>
      </c>
      <c r="F587" s="2"/>
      <c r="G587" s="10">
        <f t="shared" si="82"/>
        <v>507</v>
      </c>
      <c r="H587" s="10">
        <f t="shared" si="82"/>
        <v>507</v>
      </c>
    </row>
    <row r="588" spans="1:8" ht="31.5" x14ac:dyDescent="0.25">
      <c r="A588" s="25" t="s">
        <v>145</v>
      </c>
      <c r="B588" s="20" t="s">
        <v>1252</v>
      </c>
      <c r="C588" s="40" t="s">
        <v>315</v>
      </c>
      <c r="D588" s="40" t="s">
        <v>134</v>
      </c>
      <c r="E588" s="40" t="s">
        <v>225</v>
      </c>
      <c r="F588" s="2"/>
      <c r="G588" s="10">
        <f>'пр.5.1.ведом.21-22'!G387</f>
        <v>507</v>
      </c>
      <c r="H588" s="10">
        <f>'пр.5.1.ведом.21-22'!H387</f>
        <v>507</v>
      </c>
    </row>
    <row r="589" spans="1:8" ht="47.25" x14ac:dyDescent="0.25">
      <c r="A589" s="25" t="s">
        <v>1269</v>
      </c>
      <c r="B589" s="20" t="s">
        <v>1252</v>
      </c>
      <c r="C589" s="40" t="s">
        <v>315</v>
      </c>
      <c r="D589" s="40" t="s">
        <v>134</v>
      </c>
      <c r="E589" s="40" t="s">
        <v>225</v>
      </c>
      <c r="F589" s="2">
        <v>903</v>
      </c>
      <c r="G589" s="10">
        <f>G588</f>
        <v>507</v>
      </c>
      <c r="H589" s="10">
        <f>H588</f>
        <v>507</v>
      </c>
    </row>
    <row r="590" spans="1:8" ht="31.5" x14ac:dyDescent="0.25">
      <c r="A590" s="23" t="s">
        <v>1163</v>
      </c>
      <c r="B590" s="24" t="s">
        <v>965</v>
      </c>
      <c r="C590" s="7"/>
      <c r="D590" s="7"/>
      <c r="E590" s="7"/>
      <c r="F590" s="3"/>
      <c r="G590" s="59">
        <f>G593+G597</f>
        <v>68.7</v>
      </c>
      <c r="H590" s="59">
        <f>H593+H597</f>
        <v>68.7</v>
      </c>
    </row>
    <row r="591" spans="1:8" ht="15.75" x14ac:dyDescent="0.25">
      <c r="A591" s="68" t="s">
        <v>314</v>
      </c>
      <c r="B591" s="40" t="s">
        <v>965</v>
      </c>
      <c r="C591" s="40" t="s">
        <v>315</v>
      </c>
      <c r="D591" s="40"/>
      <c r="E591" s="40"/>
      <c r="F591" s="74"/>
      <c r="G591" s="10">
        <f t="shared" ref="G591:H591" si="83">G592</f>
        <v>68.7</v>
      </c>
      <c r="H591" s="10">
        <f t="shared" si="83"/>
        <v>68.7</v>
      </c>
    </row>
    <row r="592" spans="1:8" ht="15.75" x14ac:dyDescent="0.25">
      <c r="A592" s="68" t="s">
        <v>316</v>
      </c>
      <c r="B592" s="40" t="s">
        <v>965</v>
      </c>
      <c r="C592" s="40" t="s">
        <v>315</v>
      </c>
      <c r="D592" s="40" t="s">
        <v>134</v>
      </c>
      <c r="E592" s="40"/>
      <c r="F592" s="74"/>
      <c r="G592" s="10">
        <f>G593+G597</f>
        <v>68.7</v>
      </c>
      <c r="H592" s="10">
        <f>H593+H597</f>
        <v>68.7</v>
      </c>
    </row>
    <row r="593" spans="1:8" ht="31.5" x14ac:dyDescent="0.25">
      <c r="A593" s="25" t="s">
        <v>345</v>
      </c>
      <c r="B593" s="20" t="s">
        <v>1253</v>
      </c>
      <c r="C593" s="40" t="s">
        <v>315</v>
      </c>
      <c r="D593" s="40" t="s">
        <v>134</v>
      </c>
      <c r="E593" s="40"/>
      <c r="F593" s="2"/>
      <c r="G593" s="10">
        <f>G594</f>
        <v>3.5</v>
      </c>
      <c r="H593" s="10">
        <f>H594</f>
        <v>3.5</v>
      </c>
    </row>
    <row r="594" spans="1:8" ht="31.5" x14ac:dyDescent="0.25">
      <c r="A594" s="25" t="s">
        <v>147</v>
      </c>
      <c r="B594" s="20" t="s">
        <v>1253</v>
      </c>
      <c r="C594" s="40" t="s">
        <v>315</v>
      </c>
      <c r="D594" s="40" t="s">
        <v>134</v>
      </c>
      <c r="E594" s="40" t="s">
        <v>148</v>
      </c>
      <c r="F594" s="2"/>
      <c r="G594" s="10">
        <f>G595</f>
        <v>3.5</v>
      </c>
      <c r="H594" s="10">
        <f>H595</f>
        <v>3.5</v>
      </c>
    </row>
    <row r="595" spans="1:8" ht="47.25" x14ac:dyDescent="0.25">
      <c r="A595" s="25" t="s">
        <v>149</v>
      </c>
      <c r="B595" s="20" t="s">
        <v>1253</v>
      </c>
      <c r="C595" s="40" t="s">
        <v>315</v>
      </c>
      <c r="D595" s="40" t="s">
        <v>134</v>
      </c>
      <c r="E595" s="40" t="s">
        <v>150</v>
      </c>
      <c r="F595" s="2"/>
      <c r="G595" s="10">
        <f>'пр.5.1.ведом.21-22'!G391</f>
        <v>3.5</v>
      </c>
      <c r="H595" s="10">
        <f>'пр.5.1.ведом.21-22'!H391</f>
        <v>3.5</v>
      </c>
    </row>
    <row r="596" spans="1:8" ht="47.25" x14ac:dyDescent="0.25">
      <c r="A596" s="25" t="s">
        <v>1269</v>
      </c>
      <c r="B596" s="20" t="s">
        <v>1253</v>
      </c>
      <c r="C596" s="40" t="s">
        <v>315</v>
      </c>
      <c r="D596" s="40" t="s">
        <v>134</v>
      </c>
      <c r="E596" s="40" t="s">
        <v>150</v>
      </c>
      <c r="F596" s="2">
        <v>903</v>
      </c>
      <c r="G596" s="10">
        <f>G595</f>
        <v>3.5</v>
      </c>
      <c r="H596" s="10">
        <f>H595</f>
        <v>3.5</v>
      </c>
    </row>
    <row r="597" spans="1:8" ht="31.5" x14ac:dyDescent="0.25">
      <c r="A597" s="25" t="s">
        <v>345</v>
      </c>
      <c r="B597" s="20" t="s">
        <v>1254</v>
      </c>
      <c r="C597" s="40" t="s">
        <v>315</v>
      </c>
      <c r="D597" s="40" t="s">
        <v>134</v>
      </c>
      <c r="E597" s="40"/>
      <c r="F597" s="2"/>
      <c r="G597" s="10">
        <f>G598</f>
        <v>65.2</v>
      </c>
      <c r="H597" s="10">
        <f>H598</f>
        <v>65.2</v>
      </c>
    </row>
    <row r="598" spans="1:8" ht="31.5" x14ac:dyDescent="0.25">
      <c r="A598" s="25" t="s">
        <v>147</v>
      </c>
      <c r="B598" s="20" t="s">
        <v>1254</v>
      </c>
      <c r="C598" s="40" t="s">
        <v>315</v>
      </c>
      <c r="D598" s="40" t="s">
        <v>134</v>
      </c>
      <c r="E598" s="40" t="s">
        <v>148</v>
      </c>
      <c r="F598" s="2"/>
      <c r="G598" s="10">
        <f>G599</f>
        <v>65.2</v>
      </c>
      <c r="H598" s="10">
        <f>H599</f>
        <v>65.2</v>
      </c>
    </row>
    <row r="599" spans="1:8" ht="47.25" x14ac:dyDescent="0.25">
      <c r="A599" s="25" t="s">
        <v>149</v>
      </c>
      <c r="B599" s="20" t="s">
        <v>1254</v>
      </c>
      <c r="C599" s="40" t="s">
        <v>315</v>
      </c>
      <c r="D599" s="40" t="s">
        <v>134</v>
      </c>
      <c r="E599" s="40" t="s">
        <v>150</v>
      </c>
      <c r="F599" s="2"/>
      <c r="G599" s="10">
        <f>'пр.5.1.ведом.21-22'!G394</f>
        <v>65.2</v>
      </c>
      <c r="H599" s="10">
        <f>'пр.5.1.ведом.21-22'!H394</f>
        <v>65.2</v>
      </c>
    </row>
    <row r="600" spans="1:8" ht="47.25" x14ac:dyDescent="0.25">
      <c r="A600" s="25" t="s">
        <v>1269</v>
      </c>
      <c r="B600" s="20" t="s">
        <v>1254</v>
      </c>
      <c r="C600" s="40" t="s">
        <v>315</v>
      </c>
      <c r="D600" s="40" t="s">
        <v>134</v>
      </c>
      <c r="E600" s="40" t="s">
        <v>150</v>
      </c>
      <c r="F600" s="2">
        <v>903</v>
      </c>
      <c r="G600" s="10">
        <f>G599</f>
        <v>65.2</v>
      </c>
      <c r="H600" s="10">
        <f>H599</f>
        <v>65.2</v>
      </c>
    </row>
    <row r="601" spans="1:8" ht="47.25" x14ac:dyDescent="0.25">
      <c r="A601" s="230" t="s">
        <v>971</v>
      </c>
      <c r="B601" s="24" t="s">
        <v>1255</v>
      </c>
      <c r="C601" s="7"/>
      <c r="D601" s="7"/>
      <c r="E601" s="7"/>
      <c r="F601" s="3"/>
      <c r="G601" s="59">
        <f>G602</f>
        <v>1596</v>
      </c>
      <c r="H601" s="59">
        <f>H602</f>
        <v>1596</v>
      </c>
    </row>
    <row r="602" spans="1:8" ht="15.75" x14ac:dyDescent="0.25">
      <c r="A602" s="68" t="s">
        <v>314</v>
      </c>
      <c r="B602" s="40" t="s">
        <v>1255</v>
      </c>
      <c r="C602" s="40" t="s">
        <v>315</v>
      </c>
      <c r="D602" s="40"/>
      <c r="E602" s="40"/>
      <c r="F602" s="74"/>
      <c r="G602" s="10">
        <f t="shared" ref="G602:H602" si="84">G603</f>
        <v>1596</v>
      </c>
      <c r="H602" s="10">
        <f t="shared" si="84"/>
        <v>1596</v>
      </c>
    </row>
    <row r="603" spans="1:8" ht="15.75" x14ac:dyDescent="0.25">
      <c r="A603" s="68" t="s">
        <v>316</v>
      </c>
      <c r="B603" s="40" t="s">
        <v>1255</v>
      </c>
      <c r="C603" s="40" t="s">
        <v>315</v>
      </c>
      <c r="D603" s="40" t="s">
        <v>134</v>
      </c>
      <c r="E603" s="40"/>
      <c r="F603" s="74"/>
      <c r="G603" s="10">
        <f>G608+G612+G604</f>
        <v>1596</v>
      </c>
      <c r="H603" s="335">
        <f>H608+H612+H604</f>
        <v>1596</v>
      </c>
    </row>
    <row r="604" spans="1:8" s="331" customFormat="1" ht="110.25" x14ac:dyDescent="0.25">
      <c r="A604" s="31" t="s">
        <v>309</v>
      </c>
      <c r="B604" s="338" t="s">
        <v>1524</v>
      </c>
      <c r="C604" s="346" t="s">
        <v>315</v>
      </c>
      <c r="D604" s="346" t="s">
        <v>134</v>
      </c>
      <c r="E604" s="346"/>
      <c r="F604" s="2"/>
      <c r="G604" s="335">
        <f>G605</f>
        <v>1276.3</v>
      </c>
      <c r="H604" s="335">
        <f>H605</f>
        <v>1276.3</v>
      </c>
    </row>
    <row r="605" spans="1:8" s="331" customFormat="1" ht="94.5" x14ac:dyDescent="0.25">
      <c r="A605" s="342" t="s">
        <v>143</v>
      </c>
      <c r="B605" s="338" t="s">
        <v>1524</v>
      </c>
      <c r="C605" s="346" t="s">
        <v>315</v>
      </c>
      <c r="D605" s="346" t="s">
        <v>134</v>
      </c>
      <c r="E605" s="346" t="s">
        <v>144</v>
      </c>
      <c r="F605" s="2"/>
      <c r="G605" s="335">
        <f>G606</f>
        <v>1276.3</v>
      </c>
      <c r="H605" s="335">
        <f>H606</f>
        <v>1276.3</v>
      </c>
    </row>
    <row r="606" spans="1:8" s="331" customFormat="1" ht="31.5" x14ac:dyDescent="0.25">
      <c r="A606" s="342" t="s">
        <v>224</v>
      </c>
      <c r="B606" s="338" t="s">
        <v>1524</v>
      </c>
      <c r="C606" s="346" t="s">
        <v>315</v>
      </c>
      <c r="D606" s="346" t="s">
        <v>134</v>
      </c>
      <c r="E606" s="346" t="s">
        <v>225</v>
      </c>
      <c r="F606" s="2"/>
      <c r="G606" s="335">
        <f>'пр.5.1.ведом.21-22'!G398</f>
        <v>1276.3</v>
      </c>
      <c r="H606" s="335">
        <f>'пр.5.1.ведом.21-22'!H398</f>
        <v>1276.3</v>
      </c>
    </row>
    <row r="607" spans="1:8" s="331" customFormat="1" ht="47.25" x14ac:dyDescent="0.25">
      <c r="A607" s="342" t="s">
        <v>1269</v>
      </c>
      <c r="B607" s="338" t="s">
        <v>1524</v>
      </c>
      <c r="C607" s="346" t="s">
        <v>315</v>
      </c>
      <c r="D607" s="346" t="s">
        <v>134</v>
      </c>
      <c r="E607" s="346" t="s">
        <v>225</v>
      </c>
      <c r="F607" s="2">
        <v>903</v>
      </c>
      <c r="G607" s="335">
        <f>G604</f>
        <v>1276.3</v>
      </c>
      <c r="H607" s="335">
        <f>H604</f>
        <v>1276.3</v>
      </c>
    </row>
    <row r="608" spans="1:8" ht="94.5" x14ac:dyDescent="0.25">
      <c r="A608" s="25" t="s">
        <v>347</v>
      </c>
      <c r="B608" s="20" t="s">
        <v>1256</v>
      </c>
      <c r="C608" s="40" t="s">
        <v>315</v>
      </c>
      <c r="D608" s="40" t="s">
        <v>134</v>
      </c>
      <c r="E608" s="40"/>
      <c r="F608" s="2"/>
      <c r="G608" s="10">
        <f>G609</f>
        <v>319.7</v>
      </c>
      <c r="H608" s="10">
        <f>H609</f>
        <v>319.7</v>
      </c>
    </row>
    <row r="609" spans="1:8" ht="94.5" x14ac:dyDescent="0.25">
      <c r="A609" s="25" t="s">
        <v>143</v>
      </c>
      <c r="B609" s="20" t="s">
        <v>1256</v>
      </c>
      <c r="C609" s="40" t="s">
        <v>315</v>
      </c>
      <c r="D609" s="40" t="s">
        <v>134</v>
      </c>
      <c r="E609" s="40" t="s">
        <v>144</v>
      </c>
      <c r="F609" s="2"/>
      <c r="G609" s="10">
        <f>G610</f>
        <v>319.7</v>
      </c>
      <c r="H609" s="10">
        <f>H610</f>
        <v>319.7</v>
      </c>
    </row>
    <row r="610" spans="1:8" ht="31.5" x14ac:dyDescent="0.25">
      <c r="A610" s="25" t="s">
        <v>224</v>
      </c>
      <c r="B610" s="20" t="s">
        <v>1256</v>
      </c>
      <c r="C610" s="40" t="s">
        <v>315</v>
      </c>
      <c r="D610" s="40" t="s">
        <v>134</v>
      </c>
      <c r="E610" s="40" t="s">
        <v>225</v>
      </c>
      <c r="F610" s="2"/>
      <c r="G610" s="10">
        <f>'пр.5.1.ведом.21-22'!G401</f>
        <v>319.7</v>
      </c>
      <c r="H610" s="10">
        <f>'пр.5.1.ведом.21-22'!H401</f>
        <v>319.7</v>
      </c>
    </row>
    <row r="611" spans="1:8" ht="47.25" x14ac:dyDescent="0.25">
      <c r="A611" s="25" t="s">
        <v>1269</v>
      </c>
      <c r="B611" s="20" t="s">
        <v>1256</v>
      </c>
      <c r="C611" s="40" t="s">
        <v>315</v>
      </c>
      <c r="D611" s="40" t="s">
        <v>134</v>
      </c>
      <c r="E611" s="40" t="s">
        <v>225</v>
      </c>
      <c r="F611" s="2">
        <v>903</v>
      </c>
      <c r="G611" s="10">
        <f>G610</f>
        <v>319.7</v>
      </c>
      <c r="H611" s="10">
        <f>H610</f>
        <v>319.7</v>
      </c>
    </row>
    <row r="612" spans="1:8" ht="110.25" hidden="1" x14ac:dyDescent="0.25">
      <c r="A612" s="31" t="s">
        <v>309</v>
      </c>
      <c r="B612" s="20" t="s">
        <v>1257</v>
      </c>
      <c r="C612" s="40" t="s">
        <v>315</v>
      </c>
      <c r="D612" s="40" t="s">
        <v>134</v>
      </c>
      <c r="E612" s="40"/>
      <c r="F612" s="2"/>
      <c r="G612" s="10">
        <f>G613</f>
        <v>0</v>
      </c>
      <c r="H612" s="10">
        <f>H613</f>
        <v>0</v>
      </c>
    </row>
    <row r="613" spans="1:8" ht="94.5" hidden="1" x14ac:dyDescent="0.25">
      <c r="A613" s="25" t="s">
        <v>143</v>
      </c>
      <c r="B613" s="20" t="s">
        <v>1257</v>
      </c>
      <c r="C613" s="40" t="s">
        <v>315</v>
      </c>
      <c r="D613" s="40" t="s">
        <v>134</v>
      </c>
      <c r="E613" s="40" t="s">
        <v>144</v>
      </c>
      <c r="F613" s="2"/>
      <c r="G613" s="10">
        <f>G614</f>
        <v>0</v>
      </c>
      <c r="H613" s="10">
        <f>H614</f>
        <v>0</v>
      </c>
    </row>
    <row r="614" spans="1:8" ht="31.5" hidden="1" x14ac:dyDescent="0.25">
      <c r="A614" s="25" t="s">
        <v>224</v>
      </c>
      <c r="B614" s="20" t="s">
        <v>1257</v>
      </c>
      <c r="C614" s="40" t="s">
        <v>315</v>
      </c>
      <c r="D614" s="40" t="s">
        <v>134</v>
      </c>
      <c r="E614" s="40" t="s">
        <v>225</v>
      </c>
      <c r="F614" s="2"/>
      <c r="G614" s="10">
        <f>'пр.5.1.ведом.21-22'!G404</f>
        <v>0</v>
      </c>
      <c r="H614" s="10">
        <f>'пр.5.1.ведом.21-22'!H404</f>
        <v>0</v>
      </c>
    </row>
    <row r="615" spans="1:8" ht="47.25" hidden="1" x14ac:dyDescent="0.25">
      <c r="A615" s="25" t="s">
        <v>1269</v>
      </c>
      <c r="B615" s="20" t="s">
        <v>1257</v>
      </c>
      <c r="C615" s="40" t="s">
        <v>315</v>
      </c>
      <c r="D615" s="40" t="s">
        <v>134</v>
      </c>
      <c r="E615" s="40" t="s">
        <v>225</v>
      </c>
      <c r="F615" s="2">
        <v>903</v>
      </c>
      <c r="G615" s="10">
        <f>G614</f>
        <v>0</v>
      </c>
      <c r="H615" s="10">
        <f>H614</f>
        <v>0</v>
      </c>
    </row>
    <row r="616" spans="1:8" ht="63" x14ac:dyDescent="0.25">
      <c r="A616" s="23" t="s">
        <v>284</v>
      </c>
      <c r="B616" s="24" t="s">
        <v>285</v>
      </c>
      <c r="C616" s="7"/>
      <c r="D616" s="7"/>
      <c r="E616" s="7"/>
      <c r="F616" s="3"/>
      <c r="G616" s="59">
        <f>G617+G630+G637+G647+G654</f>
        <v>16643.7</v>
      </c>
      <c r="H616" s="59">
        <f>H617+H630+H637+H647+H654</f>
        <v>16643.7</v>
      </c>
    </row>
    <row r="617" spans="1:8" ht="47.25" x14ac:dyDescent="0.25">
      <c r="A617" s="23" t="s">
        <v>941</v>
      </c>
      <c r="B617" s="24" t="s">
        <v>942</v>
      </c>
      <c r="C617" s="7"/>
      <c r="D617" s="7"/>
      <c r="E617" s="7"/>
      <c r="F617" s="3"/>
      <c r="G617" s="59">
        <f t="shared" ref="G617:H619" si="85">G618</f>
        <v>15011</v>
      </c>
      <c r="H617" s="59">
        <f t="shared" si="85"/>
        <v>15011</v>
      </c>
    </row>
    <row r="618" spans="1:8" ht="15.75" x14ac:dyDescent="0.25">
      <c r="A618" s="25" t="s">
        <v>279</v>
      </c>
      <c r="B618" s="20" t="s">
        <v>942</v>
      </c>
      <c r="C618" s="40" t="s">
        <v>280</v>
      </c>
      <c r="D618" s="40"/>
      <c r="E618" s="40"/>
      <c r="F618" s="2"/>
      <c r="G618" s="10">
        <f t="shared" si="85"/>
        <v>15011</v>
      </c>
      <c r="H618" s="10">
        <f t="shared" si="85"/>
        <v>15011</v>
      </c>
    </row>
    <row r="619" spans="1:8" ht="15.75" x14ac:dyDescent="0.25">
      <c r="A619" s="25" t="s">
        <v>281</v>
      </c>
      <c r="B619" s="20" t="s">
        <v>942</v>
      </c>
      <c r="C619" s="40" t="s">
        <v>280</v>
      </c>
      <c r="D619" s="40" t="s">
        <v>231</v>
      </c>
      <c r="E619" s="40"/>
      <c r="F619" s="2"/>
      <c r="G619" s="10">
        <f t="shared" si="85"/>
        <v>15011</v>
      </c>
      <c r="H619" s="10">
        <f t="shared" si="85"/>
        <v>15011</v>
      </c>
    </row>
    <row r="620" spans="1:8" ht="31.5" x14ac:dyDescent="0.25">
      <c r="A620" s="25" t="s">
        <v>832</v>
      </c>
      <c r="B620" s="20" t="s">
        <v>940</v>
      </c>
      <c r="C620" s="40" t="s">
        <v>280</v>
      </c>
      <c r="D620" s="40" t="s">
        <v>231</v>
      </c>
      <c r="E620" s="40"/>
      <c r="F620" s="2"/>
      <c r="G620" s="10">
        <f>G621+G624+G627</f>
        <v>15011</v>
      </c>
      <c r="H620" s="10">
        <f>H621+H624+H627</f>
        <v>15011</v>
      </c>
    </row>
    <row r="621" spans="1:8" ht="94.5" x14ac:dyDescent="0.25">
      <c r="A621" s="25" t="s">
        <v>143</v>
      </c>
      <c r="B621" s="20" t="s">
        <v>940</v>
      </c>
      <c r="C621" s="40" t="s">
        <v>280</v>
      </c>
      <c r="D621" s="40" t="s">
        <v>231</v>
      </c>
      <c r="E621" s="20" t="s">
        <v>144</v>
      </c>
      <c r="F621" s="2"/>
      <c r="G621" s="10">
        <f>G622</f>
        <v>13393</v>
      </c>
      <c r="H621" s="10">
        <f>H622</f>
        <v>13393</v>
      </c>
    </row>
    <row r="622" spans="1:8" ht="31.5" x14ac:dyDescent="0.25">
      <c r="A622" s="46" t="s">
        <v>358</v>
      </c>
      <c r="B622" s="20" t="s">
        <v>940</v>
      </c>
      <c r="C622" s="40" t="s">
        <v>280</v>
      </c>
      <c r="D622" s="40" t="s">
        <v>231</v>
      </c>
      <c r="E622" s="20" t="s">
        <v>225</v>
      </c>
      <c r="F622" s="2"/>
      <c r="G622" s="10">
        <f>'пр.5.1.ведом.21-22'!G284</f>
        <v>13393</v>
      </c>
      <c r="H622" s="10">
        <f>'пр.5.1.ведом.21-22'!H284</f>
        <v>13393</v>
      </c>
    </row>
    <row r="623" spans="1:8" ht="47.25" x14ac:dyDescent="0.25">
      <c r="A623" s="25" t="s">
        <v>1269</v>
      </c>
      <c r="B623" s="20" t="s">
        <v>940</v>
      </c>
      <c r="C623" s="40" t="s">
        <v>280</v>
      </c>
      <c r="D623" s="40" t="s">
        <v>231</v>
      </c>
      <c r="E623" s="20" t="s">
        <v>225</v>
      </c>
      <c r="F623" s="2">
        <v>903</v>
      </c>
      <c r="G623" s="10">
        <f>G622</f>
        <v>13393</v>
      </c>
      <c r="H623" s="10">
        <f>H622</f>
        <v>13393</v>
      </c>
    </row>
    <row r="624" spans="1:8" ht="31.5" x14ac:dyDescent="0.25">
      <c r="A624" s="25" t="s">
        <v>147</v>
      </c>
      <c r="B624" s="20" t="s">
        <v>940</v>
      </c>
      <c r="C624" s="40" t="s">
        <v>280</v>
      </c>
      <c r="D624" s="40" t="s">
        <v>231</v>
      </c>
      <c r="E624" s="20" t="s">
        <v>148</v>
      </c>
      <c r="F624" s="2"/>
      <c r="G624" s="10">
        <f>G625</f>
        <v>1540</v>
      </c>
      <c r="H624" s="10">
        <f>H625</f>
        <v>1540</v>
      </c>
    </row>
    <row r="625" spans="1:8" ht="47.25" x14ac:dyDescent="0.25">
      <c r="A625" s="25" t="s">
        <v>149</v>
      </c>
      <c r="B625" s="20" t="s">
        <v>940</v>
      </c>
      <c r="C625" s="40" t="s">
        <v>280</v>
      </c>
      <c r="D625" s="40" t="s">
        <v>231</v>
      </c>
      <c r="E625" s="20" t="s">
        <v>150</v>
      </c>
      <c r="F625" s="2"/>
      <c r="G625" s="10">
        <f>'пр.5.1.ведом.21-22'!G286</f>
        <v>1540</v>
      </c>
      <c r="H625" s="10">
        <f>'пр.5.1.ведом.21-22'!H286</f>
        <v>1540</v>
      </c>
    </row>
    <row r="626" spans="1:8" ht="47.25" x14ac:dyDescent="0.25">
      <c r="A626" s="25" t="s">
        <v>1269</v>
      </c>
      <c r="B626" s="20" t="s">
        <v>940</v>
      </c>
      <c r="C626" s="40" t="s">
        <v>280</v>
      </c>
      <c r="D626" s="40" t="s">
        <v>231</v>
      </c>
      <c r="E626" s="20" t="s">
        <v>150</v>
      </c>
      <c r="F626" s="2">
        <v>903</v>
      </c>
      <c r="G626" s="10">
        <f>G625</f>
        <v>1540</v>
      </c>
      <c r="H626" s="10">
        <f>H625</f>
        <v>1540</v>
      </c>
    </row>
    <row r="627" spans="1:8" ht="15.75" x14ac:dyDescent="0.25">
      <c r="A627" s="25" t="s">
        <v>151</v>
      </c>
      <c r="B627" s="20" t="s">
        <v>940</v>
      </c>
      <c r="C627" s="40" t="s">
        <v>280</v>
      </c>
      <c r="D627" s="40" t="s">
        <v>231</v>
      </c>
      <c r="E627" s="20" t="s">
        <v>161</v>
      </c>
      <c r="F627" s="2"/>
      <c r="G627" s="10">
        <f>G628</f>
        <v>78</v>
      </c>
      <c r="H627" s="10">
        <f>H628</f>
        <v>78</v>
      </c>
    </row>
    <row r="628" spans="1:8" ht="15.75" x14ac:dyDescent="0.25">
      <c r="A628" s="25" t="s">
        <v>727</v>
      </c>
      <c r="B628" s="20" t="s">
        <v>940</v>
      </c>
      <c r="C628" s="40" t="s">
        <v>280</v>
      </c>
      <c r="D628" s="40" t="s">
        <v>231</v>
      </c>
      <c r="E628" s="20" t="s">
        <v>154</v>
      </c>
      <c r="F628" s="2"/>
      <c r="G628" s="10">
        <f>'пр.5.1.ведом.21-22'!G288</f>
        <v>78</v>
      </c>
      <c r="H628" s="10">
        <f>'пр.5.1.ведом.21-22'!H288</f>
        <v>78</v>
      </c>
    </row>
    <row r="629" spans="1:8" ht="47.25" x14ac:dyDescent="0.25">
      <c r="A629" s="25" t="s">
        <v>1269</v>
      </c>
      <c r="B629" s="20" t="s">
        <v>940</v>
      </c>
      <c r="C629" s="40" t="s">
        <v>280</v>
      </c>
      <c r="D629" s="40" t="s">
        <v>231</v>
      </c>
      <c r="E629" s="20" t="s">
        <v>154</v>
      </c>
      <c r="F629" s="2">
        <v>903</v>
      </c>
      <c r="G629" s="10">
        <f>G628</f>
        <v>78</v>
      </c>
      <c r="H629" s="10">
        <f>H628</f>
        <v>78</v>
      </c>
    </row>
    <row r="630" spans="1:8" ht="47.25" x14ac:dyDescent="0.25">
      <c r="A630" s="228" t="s">
        <v>1189</v>
      </c>
      <c r="B630" s="24" t="s">
        <v>944</v>
      </c>
      <c r="C630" s="7"/>
      <c r="D630" s="7"/>
      <c r="E630" s="24"/>
      <c r="F630" s="3"/>
      <c r="G630" s="59">
        <f>G633</f>
        <v>45</v>
      </c>
      <c r="H630" s="59">
        <f>H633</f>
        <v>45</v>
      </c>
    </row>
    <row r="631" spans="1:8" ht="15.75" x14ac:dyDescent="0.25">
      <c r="A631" s="25" t="s">
        <v>279</v>
      </c>
      <c r="B631" s="20" t="s">
        <v>944</v>
      </c>
      <c r="C631" s="40" t="s">
        <v>280</v>
      </c>
      <c r="D631" s="40"/>
      <c r="E631" s="40"/>
      <c r="F631" s="2"/>
      <c r="G631" s="10">
        <f t="shared" ref="G631:H634" si="86">G632</f>
        <v>45</v>
      </c>
      <c r="H631" s="10">
        <f t="shared" si="86"/>
        <v>45</v>
      </c>
    </row>
    <row r="632" spans="1:8" ht="15.75" x14ac:dyDescent="0.25">
      <c r="A632" s="25" t="s">
        <v>281</v>
      </c>
      <c r="B632" s="20" t="s">
        <v>944</v>
      </c>
      <c r="C632" s="40" t="s">
        <v>280</v>
      </c>
      <c r="D632" s="40" t="s">
        <v>231</v>
      </c>
      <c r="E632" s="40"/>
      <c r="F632" s="2"/>
      <c r="G632" s="10">
        <f t="shared" si="86"/>
        <v>45</v>
      </c>
      <c r="H632" s="10">
        <f t="shared" si="86"/>
        <v>45</v>
      </c>
    </row>
    <row r="633" spans="1:8" ht="31.5" x14ac:dyDescent="0.25">
      <c r="A633" s="209" t="s">
        <v>831</v>
      </c>
      <c r="B633" s="20" t="s">
        <v>943</v>
      </c>
      <c r="C633" s="40" t="s">
        <v>280</v>
      </c>
      <c r="D633" s="40" t="s">
        <v>231</v>
      </c>
      <c r="E633" s="20"/>
      <c r="F633" s="2"/>
      <c r="G633" s="10">
        <f t="shared" si="86"/>
        <v>45</v>
      </c>
      <c r="H633" s="10">
        <f t="shared" si="86"/>
        <v>45</v>
      </c>
    </row>
    <row r="634" spans="1:8" ht="31.5" x14ac:dyDescent="0.25">
      <c r="A634" s="25" t="s">
        <v>264</v>
      </c>
      <c r="B634" s="20" t="s">
        <v>943</v>
      </c>
      <c r="C634" s="40" t="s">
        <v>280</v>
      </c>
      <c r="D634" s="40" t="s">
        <v>231</v>
      </c>
      <c r="E634" s="20" t="s">
        <v>265</v>
      </c>
      <c r="F634" s="2"/>
      <c r="G634" s="10">
        <f t="shared" si="86"/>
        <v>45</v>
      </c>
      <c r="H634" s="10">
        <f t="shared" si="86"/>
        <v>45</v>
      </c>
    </row>
    <row r="635" spans="1:8" ht="15.75" x14ac:dyDescent="0.25">
      <c r="A635" s="25" t="s">
        <v>865</v>
      </c>
      <c r="B635" s="20" t="s">
        <v>943</v>
      </c>
      <c r="C635" s="40" t="s">
        <v>280</v>
      </c>
      <c r="D635" s="40" t="s">
        <v>231</v>
      </c>
      <c r="E635" s="20" t="s">
        <v>864</v>
      </c>
      <c r="F635" s="2"/>
      <c r="G635" s="10">
        <f>'пр.5.1.ведом.21-22'!G292</f>
        <v>45</v>
      </c>
      <c r="H635" s="10">
        <f>'пр.5.1.ведом.21-22'!H292</f>
        <v>45</v>
      </c>
    </row>
    <row r="636" spans="1:8" ht="47.25" x14ac:dyDescent="0.25">
      <c r="A636" s="25" t="s">
        <v>1269</v>
      </c>
      <c r="B636" s="20" t="s">
        <v>943</v>
      </c>
      <c r="C636" s="40" t="s">
        <v>280</v>
      </c>
      <c r="D636" s="40" t="s">
        <v>231</v>
      </c>
      <c r="E636" s="20" t="s">
        <v>864</v>
      </c>
      <c r="F636" s="2">
        <v>903</v>
      </c>
      <c r="G636" s="10">
        <f>G635</f>
        <v>45</v>
      </c>
      <c r="H636" s="10">
        <f>H635</f>
        <v>45</v>
      </c>
    </row>
    <row r="637" spans="1:8" ht="47.25" x14ac:dyDescent="0.25">
      <c r="A637" s="233" t="s">
        <v>1168</v>
      </c>
      <c r="B637" s="24" t="s">
        <v>945</v>
      </c>
      <c r="C637" s="7"/>
      <c r="D637" s="7"/>
      <c r="E637" s="24"/>
      <c r="F637" s="3"/>
      <c r="G637" s="59">
        <f>G640</f>
        <v>250</v>
      </c>
      <c r="H637" s="59">
        <f>H640</f>
        <v>250</v>
      </c>
    </row>
    <row r="638" spans="1:8" ht="15.75" x14ac:dyDescent="0.25">
      <c r="A638" s="25" t="s">
        <v>279</v>
      </c>
      <c r="B638" s="20" t="s">
        <v>945</v>
      </c>
      <c r="C638" s="40" t="s">
        <v>280</v>
      </c>
      <c r="D638" s="40"/>
      <c r="E638" s="40"/>
      <c r="F638" s="2"/>
      <c r="G638" s="10">
        <f>G639</f>
        <v>250</v>
      </c>
      <c r="H638" s="10">
        <f>H639</f>
        <v>250</v>
      </c>
    </row>
    <row r="639" spans="1:8" ht="15.75" x14ac:dyDescent="0.25">
      <c r="A639" s="25" t="s">
        <v>281</v>
      </c>
      <c r="B639" s="20" t="s">
        <v>945</v>
      </c>
      <c r="C639" s="40" t="s">
        <v>280</v>
      </c>
      <c r="D639" s="40" t="s">
        <v>231</v>
      </c>
      <c r="E639" s="40"/>
      <c r="F639" s="2"/>
      <c r="G639" s="10">
        <f>G640</f>
        <v>250</v>
      </c>
      <c r="H639" s="10">
        <f>H640</f>
        <v>250</v>
      </c>
    </row>
    <row r="640" spans="1:8" ht="36.75" customHeight="1" x14ac:dyDescent="0.25">
      <c r="A640" s="31" t="s">
        <v>860</v>
      </c>
      <c r="B640" s="20" t="s">
        <v>946</v>
      </c>
      <c r="C640" s="40" t="s">
        <v>280</v>
      </c>
      <c r="D640" s="40" t="s">
        <v>231</v>
      </c>
      <c r="E640" s="20"/>
      <c r="F640" s="2"/>
      <c r="G640" s="10">
        <f>G641+G644</f>
        <v>250</v>
      </c>
      <c r="H640" s="10">
        <f>H641+H644</f>
        <v>250</v>
      </c>
    </row>
    <row r="641" spans="1:8" ht="94.5" x14ac:dyDescent="0.25">
      <c r="A641" s="25" t="s">
        <v>143</v>
      </c>
      <c r="B641" s="20" t="s">
        <v>946</v>
      </c>
      <c r="C641" s="40" t="s">
        <v>280</v>
      </c>
      <c r="D641" s="40" t="s">
        <v>231</v>
      </c>
      <c r="E641" s="20" t="s">
        <v>144</v>
      </c>
      <c r="F641" s="2"/>
      <c r="G641" s="10">
        <f>G642</f>
        <v>250</v>
      </c>
      <c r="H641" s="10">
        <f>H642</f>
        <v>250</v>
      </c>
    </row>
    <row r="642" spans="1:8" ht="31.5" x14ac:dyDescent="0.25">
      <c r="A642" s="46" t="s">
        <v>358</v>
      </c>
      <c r="B642" s="20" t="s">
        <v>946</v>
      </c>
      <c r="C642" s="40" t="s">
        <v>280</v>
      </c>
      <c r="D642" s="40" t="s">
        <v>231</v>
      </c>
      <c r="E642" s="20" t="s">
        <v>225</v>
      </c>
      <c r="F642" s="2"/>
      <c r="G642" s="10">
        <f>'пр.5.1.ведом.21-22'!G296</f>
        <v>250</v>
      </c>
      <c r="H642" s="10">
        <f>'пр.5.1.ведом.21-22'!H296</f>
        <v>250</v>
      </c>
    </row>
    <row r="643" spans="1:8" ht="47.25" x14ac:dyDescent="0.25">
      <c r="A643" s="25" t="s">
        <v>1269</v>
      </c>
      <c r="B643" s="20" t="s">
        <v>946</v>
      </c>
      <c r="C643" s="40" t="s">
        <v>280</v>
      </c>
      <c r="D643" s="40" t="s">
        <v>231</v>
      </c>
      <c r="E643" s="20" t="s">
        <v>225</v>
      </c>
      <c r="F643" s="2">
        <v>903</v>
      </c>
      <c r="G643" s="10">
        <f>G642</f>
        <v>250</v>
      </c>
      <c r="H643" s="10">
        <f>H642</f>
        <v>250</v>
      </c>
    </row>
    <row r="644" spans="1:8" ht="31.5" hidden="1" x14ac:dyDescent="0.25">
      <c r="A644" s="25" t="s">
        <v>147</v>
      </c>
      <c r="B644" s="20" t="s">
        <v>946</v>
      </c>
      <c r="C644" s="40" t="s">
        <v>280</v>
      </c>
      <c r="D644" s="40" t="s">
        <v>231</v>
      </c>
      <c r="E644" s="20" t="s">
        <v>148</v>
      </c>
      <c r="F644" s="2"/>
      <c r="G644" s="10">
        <f>G645</f>
        <v>0</v>
      </c>
      <c r="H644" s="10">
        <f>H645</f>
        <v>0</v>
      </c>
    </row>
    <row r="645" spans="1:8" ht="47.25" hidden="1" x14ac:dyDescent="0.25">
      <c r="A645" s="25" t="s">
        <v>149</v>
      </c>
      <c r="B645" s="20" t="s">
        <v>946</v>
      </c>
      <c r="C645" s="40" t="s">
        <v>280</v>
      </c>
      <c r="D645" s="40" t="s">
        <v>231</v>
      </c>
      <c r="E645" s="20" t="s">
        <v>150</v>
      </c>
      <c r="F645" s="2"/>
      <c r="G645" s="10">
        <f>'пр.5.1.ведом.21-22'!G298</f>
        <v>0</v>
      </c>
      <c r="H645" s="10">
        <f>'пр.5.1.ведом.21-22'!H298</f>
        <v>0</v>
      </c>
    </row>
    <row r="646" spans="1:8" ht="47.25" hidden="1" x14ac:dyDescent="0.25">
      <c r="A646" s="25" t="s">
        <v>1269</v>
      </c>
      <c r="B646" s="20" t="s">
        <v>946</v>
      </c>
      <c r="C646" s="40" t="s">
        <v>280</v>
      </c>
      <c r="D646" s="40" t="s">
        <v>231</v>
      </c>
      <c r="E646" s="20" t="s">
        <v>150</v>
      </c>
      <c r="F646" s="2">
        <v>903</v>
      </c>
      <c r="G646" s="10">
        <f>G645</f>
        <v>0</v>
      </c>
      <c r="H646" s="10">
        <f>H645</f>
        <v>0</v>
      </c>
    </row>
    <row r="647" spans="1:8" ht="47.25" x14ac:dyDescent="0.25">
      <c r="A647" s="23" t="s">
        <v>1076</v>
      </c>
      <c r="B647" s="24" t="s">
        <v>951</v>
      </c>
      <c r="C647" s="7"/>
      <c r="D647" s="7"/>
      <c r="E647" s="24"/>
      <c r="F647" s="3"/>
      <c r="G647" s="59">
        <f>G650</f>
        <v>336</v>
      </c>
      <c r="H647" s="59">
        <f>H650</f>
        <v>336</v>
      </c>
    </row>
    <row r="648" spans="1:8" ht="15.75" x14ac:dyDescent="0.25">
      <c r="A648" s="25" t="s">
        <v>279</v>
      </c>
      <c r="B648" s="20" t="s">
        <v>951</v>
      </c>
      <c r="C648" s="40" t="s">
        <v>280</v>
      </c>
      <c r="D648" s="40"/>
      <c r="E648" s="40"/>
      <c r="F648" s="2"/>
      <c r="G648" s="10">
        <f t="shared" ref="G648:H651" si="87">G649</f>
        <v>336</v>
      </c>
      <c r="H648" s="10">
        <f t="shared" si="87"/>
        <v>336</v>
      </c>
    </row>
    <row r="649" spans="1:8" ht="15.75" x14ac:dyDescent="0.25">
      <c r="A649" s="25" t="s">
        <v>281</v>
      </c>
      <c r="B649" s="20" t="s">
        <v>951</v>
      </c>
      <c r="C649" s="40" t="s">
        <v>280</v>
      </c>
      <c r="D649" s="40" t="s">
        <v>231</v>
      </c>
      <c r="E649" s="40"/>
      <c r="F649" s="2"/>
      <c r="G649" s="10">
        <f t="shared" si="87"/>
        <v>336</v>
      </c>
      <c r="H649" s="10">
        <f t="shared" si="87"/>
        <v>336</v>
      </c>
    </row>
    <row r="650" spans="1:8" ht="47.25" x14ac:dyDescent="0.25">
      <c r="A650" s="25" t="s">
        <v>885</v>
      </c>
      <c r="B650" s="20" t="s">
        <v>1263</v>
      </c>
      <c r="C650" s="40" t="s">
        <v>280</v>
      </c>
      <c r="D650" s="40" t="s">
        <v>231</v>
      </c>
      <c r="E650" s="20"/>
      <c r="F650" s="2"/>
      <c r="G650" s="10">
        <f t="shared" si="87"/>
        <v>336</v>
      </c>
      <c r="H650" s="10">
        <f t="shared" si="87"/>
        <v>336</v>
      </c>
    </row>
    <row r="651" spans="1:8" ht="94.5" x14ac:dyDescent="0.25">
      <c r="A651" s="25" t="s">
        <v>143</v>
      </c>
      <c r="B651" s="20" t="s">
        <v>1263</v>
      </c>
      <c r="C651" s="40" t="s">
        <v>280</v>
      </c>
      <c r="D651" s="40" t="s">
        <v>231</v>
      </c>
      <c r="E651" s="20" t="s">
        <v>144</v>
      </c>
      <c r="F651" s="2"/>
      <c r="G651" s="10">
        <f t="shared" si="87"/>
        <v>336</v>
      </c>
      <c r="H651" s="10">
        <f t="shared" si="87"/>
        <v>336</v>
      </c>
    </row>
    <row r="652" spans="1:8" ht="31.5" x14ac:dyDescent="0.25">
      <c r="A652" s="25" t="s">
        <v>145</v>
      </c>
      <c r="B652" s="20" t="s">
        <v>1263</v>
      </c>
      <c r="C652" s="40" t="s">
        <v>280</v>
      </c>
      <c r="D652" s="40" t="s">
        <v>231</v>
      </c>
      <c r="E652" s="20" t="s">
        <v>225</v>
      </c>
      <c r="F652" s="2"/>
      <c r="G652" s="10">
        <f>'пр.5.1.ведом.21-22'!G302</f>
        <v>336</v>
      </c>
      <c r="H652" s="10">
        <f>'пр.5.1.ведом.21-22'!H302</f>
        <v>336</v>
      </c>
    </row>
    <row r="653" spans="1:8" ht="47.25" x14ac:dyDescent="0.25">
      <c r="A653" s="25" t="s">
        <v>1269</v>
      </c>
      <c r="B653" s="20" t="s">
        <v>1263</v>
      </c>
      <c r="C653" s="40" t="s">
        <v>280</v>
      </c>
      <c r="D653" s="40" t="s">
        <v>231</v>
      </c>
      <c r="E653" s="20" t="s">
        <v>225</v>
      </c>
      <c r="F653" s="2">
        <v>903</v>
      </c>
      <c r="G653" s="10">
        <f>G652</f>
        <v>336</v>
      </c>
      <c r="H653" s="10">
        <f>H652</f>
        <v>336</v>
      </c>
    </row>
    <row r="654" spans="1:8" ht="47.25" x14ac:dyDescent="0.25">
      <c r="A654" s="23" t="s">
        <v>971</v>
      </c>
      <c r="B654" s="24" t="s">
        <v>1264</v>
      </c>
      <c r="C654" s="7"/>
      <c r="D654" s="7"/>
      <c r="E654" s="24"/>
      <c r="F654" s="3"/>
      <c r="G654" s="59">
        <f>G661+G665+G669+G657</f>
        <v>1001.7</v>
      </c>
      <c r="H654" s="347">
        <f>H661+H665+H669+H657</f>
        <v>1001.7</v>
      </c>
    </row>
    <row r="655" spans="1:8" ht="15.75" x14ac:dyDescent="0.25">
      <c r="A655" s="25" t="s">
        <v>279</v>
      </c>
      <c r="B655" s="20" t="s">
        <v>1264</v>
      </c>
      <c r="C655" s="40" t="s">
        <v>280</v>
      </c>
      <c r="D655" s="40"/>
      <c r="E655" s="40"/>
      <c r="F655" s="2"/>
      <c r="G655" s="10">
        <f>G656</f>
        <v>1001.7</v>
      </c>
      <c r="H655" s="10">
        <f>H656</f>
        <v>1001.7</v>
      </c>
    </row>
    <row r="656" spans="1:8" ht="15.75" x14ac:dyDescent="0.25">
      <c r="A656" s="25" t="s">
        <v>281</v>
      </c>
      <c r="B656" s="20" t="s">
        <v>1264</v>
      </c>
      <c r="C656" s="40" t="s">
        <v>280</v>
      </c>
      <c r="D656" s="40" t="s">
        <v>231</v>
      </c>
      <c r="E656" s="40"/>
      <c r="F656" s="2"/>
      <c r="G656" s="10">
        <f>G661+G665+G669+G657</f>
        <v>1001.7</v>
      </c>
      <c r="H656" s="10">
        <f>H661+H665+H669+H657</f>
        <v>1001.7</v>
      </c>
    </row>
    <row r="657" spans="1:8" s="331" customFormat="1" ht="110.25" x14ac:dyDescent="0.25">
      <c r="A657" s="31" t="s">
        <v>309</v>
      </c>
      <c r="B657" s="338" t="s">
        <v>1520</v>
      </c>
      <c r="C657" s="346" t="s">
        <v>280</v>
      </c>
      <c r="D657" s="346" t="s">
        <v>231</v>
      </c>
      <c r="E657" s="338"/>
      <c r="F657" s="2"/>
      <c r="G657" s="335">
        <f>G658</f>
        <v>602.5</v>
      </c>
      <c r="H657" s="335">
        <f>H658</f>
        <v>602.5</v>
      </c>
    </row>
    <row r="658" spans="1:8" s="331" customFormat="1" ht="94.5" x14ac:dyDescent="0.25">
      <c r="A658" s="342" t="s">
        <v>143</v>
      </c>
      <c r="B658" s="338" t="s">
        <v>1520</v>
      </c>
      <c r="C658" s="346" t="s">
        <v>280</v>
      </c>
      <c r="D658" s="346" t="s">
        <v>231</v>
      </c>
      <c r="E658" s="338" t="s">
        <v>144</v>
      </c>
      <c r="F658" s="2"/>
      <c r="G658" s="335">
        <f>G659</f>
        <v>602.5</v>
      </c>
      <c r="H658" s="335">
        <f>H659</f>
        <v>602.5</v>
      </c>
    </row>
    <row r="659" spans="1:8" s="331" customFormat="1" ht="31.5" x14ac:dyDescent="0.25">
      <c r="A659" s="46" t="s">
        <v>358</v>
      </c>
      <c r="B659" s="338" t="s">
        <v>1520</v>
      </c>
      <c r="C659" s="346" t="s">
        <v>280</v>
      </c>
      <c r="D659" s="346" t="s">
        <v>231</v>
      </c>
      <c r="E659" s="338" t="s">
        <v>225</v>
      </c>
      <c r="F659" s="2"/>
      <c r="G659" s="335">
        <f>'пр.5.1.ведом.21-22'!G306</f>
        <v>602.5</v>
      </c>
      <c r="H659" s="335">
        <f>'пр.5.1.ведом.21-22'!H306</f>
        <v>602.5</v>
      </c>
    </row>
    <row r="660" spans="1:8" s="331" customFormat="1" ht="47.25" x14ac:dyDescent="0.25">
      <c r="A660" s="342" t="s">
        <v>1269</v>
      </c>
      <c r="B660" s="338" t="s">
        <v>1520</v>
      </c>
      <c r="C660" s="346" t="s">
        <v>280</v>
      </c>
      <c r="D660" s="346" t="s">
        <v>231</v>
      </c>
      <c r="E660" s="338" t="s">
        <v>225</v>
      </c>
      <c r="F660" s="2">
        <v>903</v>
      </c>
      <c r="G660" s="335">
        <f>G657</f>
        <v>602.5</v>
      </c>
      <c r="H660" s="335">
        <f>H657</f>
        <v>602.5</v>
      </c>
    </row>
    <row r="661" spans="1:8" ht="78.75" x14ac:dyDescent="0.25">
      <c r="A661" s="31" t="s">
        <v>305</v>
      </c>
      <c r="B661" s="20" t="s">
        <v>1265</v>
      </c>
      <c r="C661" s="40" t="s">
        <v>280</v>
      </c>
      <c r="D661" s="40" t="s">
        <v>231</v>
      </c>
      <c r="E661" s="20"/>
      <c r="F661" s="2"/>
      <c r="G661" s="10">
        <f>G662</f>
        <v>100.8</v>
      </c>
      <c r="H661" s="10">
        <f>H662</f>
        <v>100.8</v>
      </c>
    </row>
    <row r="662" spans="1:8" ht="94.5" x14ac:dyDescent="0.25">
      <c r="A662" s="25" t="s">
        <v>143</v>
      </c>
      <c r="B662" s="20" t="s">
        <v>1265</v>
      </c>
      <c r="C662" s="40" t="s">
        <v>280</v>
      </c>
      <c r="D662" s="40" t="s">
        <v>231</v>
      </c>
      <c r="E662" s="20" t="s">
        <v>144</v>
      </c>
      <c r="F662" s="2"/>
      <c r="G662" s="10">
        <f>G663</f>
        <v>100.8</v>
      </c>
      <c r="H662" s="10">
        <f>H663</f>
        <v>100.8</v>
      </c>
    </row>
    <row r="663" spans="1:8" ht="31.5" x14ac:dyDescent="0.25">
      <c r="A663" s="46" t="s">
        <v>358</v>
      </c>
      <c r="B663" s="20" t="s">
        <v>1265</v>
      </c>
      <c r="C663" s="40" t="s">
        <v>280</v>
      </c>
      <c r="D663" s="40" t="s">
        <v>231</v>
      </c>
      <c r="E663" s="20" t="s">
        <v>225</v>
      </c>
      <c r="F663" s="2"/>
      <c r="G663" s="10">
        <f>'пр.5.1.ведом.21-22'!G309</f>
        <v>100.8</v>
      </c>
      <c r="H663" s="10">
        <f>'пр.5.1.ведом.21-22'!H309</f>
        <v>100.8</v>
      </c>
    </row>
    <row r="664" spans="1:8" ht="47.25" x14ac:dyDescent="0.25">
      <c r="A664" s="25" t="s">
        <v>1269</v>
      </c>
      <c r="B664" s="20" t="s">
        <v>1265</v>
      </c>
      <c r="C664" s="40" t="s">
        <v>280</v>
      </c>
      <c r="D664" s="40" t="s">
        <v>231</v>
      </c>
      <c r="E664" s="20" t="s">
        <v>225</v>
      </c>
      <c r="F664" s="2">
        <v>903</v>
      </c>
      <c r="G664" s="10">
        <f>G663</f>
        <v>100.8</v>
      </c>
      <c r="H664" s="10">
        <f>H663</f>
        <v>100.8</v>
      </c>
    </row>
    <row r="665" spans="1:8" ht="94.5" x14ac:dyDescent="0.25">
      <c r="A665" s="31" t="s">
        <v>307</v>
      </c>
      <c r="B665" s="20" t="s">
        <v>1266</v>
      </c>
      <c r="C665" s="40" t="s">
        <v>280</v>
      </c>
      <c r="D665" s="40" t="s">
        <v>231</v>
      </c>
      <c r="E665" s="20"/>
      <c r="F665" s="2"/>
      <c r="G665" s="10">
        <f>G666</f>
        <v>298.39999999999998</v>
      </c>
      <c r="H665" s="10">
        <f>H666</f>
        <v>298.39999999999998</v>
      </c>
    </row>
    <row r="666" spans="1:8" ht="94.5" x14ac:dyDescent="0.25">
      <c r="A666" s="25" t="s">
        <v>143</v>
      </c>
      <c r="B666" s="20" t="s">
        <v>1266</v>
      </c>
      <c r="C666" s="40" t="s">
        <v>280</v>
      </c>
      <c r="D666" s="40" t="s">
        <v>231</v>
      </c>
      <c r="E666" s="20" t="s">
        <v>144</v>
      </c>
      <c r="F666" s="2"/>
      <c r="G666" s="10">
        <f>G667</f>
        <v>298.39999999999998</v>
      </c>
      <c r="H666" s="10">
        <f>H667</f>
        <v>298.39999999999998</v>
      </c>
    </row>
    <row r="667" spans="1:8" ht="31.5" x14ac:dyDescent="0.25">
      <c r="A667" s="46" t="s">
        <v>358</v>
      </c>
      <c r="B667" s="20" t="s">
        <v>1266</v>
      </c>
      <c r="C667" s="40" t="s">
        <v>280</v>
      </c>
      <c r="D667" s="40" t="s">
        <v>231</v>
      </c>
      <c r="E667" s="20" t="s">
        <v>225</v>
      </c>
      <c r="F667" s="2"/>
      <c r="G667" s="10">
        <f>'пр.5.1.ведом.21-22'!G312</f>
        <v>298.39999999999998</v>
      </c>
      <c r="H667" s="10">
        <f>'пр.5.1.ведом.21-22'!H312</f>
        <v>298.39999999999998</v>
      </c>
    </row>
    <row r="668" spans="1:8" ht="47.25" x14ac:dyDescent="0.25">
      <c r="A668" s="25" t="s">
        <v>1269</v>
      </c>
      <c r="B668" s="20" t="s">
        <v>1266</v>
      </c>
      <c r="C668" s="40" t="s">
        <v>280</v>
      </c>
      <c r="D668" s="40" t="s">
        <v>231</v>
      </c>
      <c r="E668" s="20" t="s">
        <v>225</v>
      </c>
      <c r="F668" s="2">
        <v>903</v>
      </c>
      <c r="G668" s="10">
        <f>G667</f>
        <v>298.39999999999998</v>
      </c>
      <c r="H668" s="10">
        <f>H667</f>
        <v>298.39999999999998</v>
      </c>
    </row>
    <row r="669" spans="1:8" ht="110.25" hidden="1" x14ac:dyDescent="0.25">
      <c r="A669" s="31" t="s">
        <v>309</v>
      </c>
      <c r="B669" s="20" t="s">
        <v>1267</v>
      </c>
      <c r="C669" s="40" t="s">
        <v>280</v>
      </c>
      <c r="D669" s="40" t="s">
        <v>231</v>
      </c>
      <c r="E669" s="20"/>
      <c r="F669" s="2"/>
      <c r="G669" s="10">
        <f>G670</f>
        <v>0</v>
      </c>
      <c r="H669" s="10">
        <f>H670</f>
        <v>0</v>
      </c>
    </row>
    <row r="670" spans="1:8" ht="94.5" hidden="1" x14ac:dyDescent="0.25">
      <c r="A670" s="25" t="s">
        <v>143</v>
      </c>
      <c r="B670" s="20" t="s">
        <v>1267</v>
      </c>
      <c r="C670" s="40" t="s">
        <v>280</v>
      </c>
      <c r="D670" s="40" t="s">
        <v>231</v>
      </c>
      <c r="E670" s="20" t="s">
        <v>144</v>
      </c>
      <c r="F670" s="2"/>
      <c r="G670" s="10">
        <f>G671</f>
        <v>0</v>
      </c>
      <c r="H670" s="10">
        <f>H671</f>
        <v>0</v>
      </c>
    </row>
    <row r="671" spans="1:8" ht="31.5" hidden="1" x14ac:dyDescent="0.25">
      <c r="A671" s="46" t="s">
        <v>358</v>
      </c>
      <c r="B671" s="20" t="s">
        <v>1267</v>
      </c>
      <c r="C671" s="40" t="s">
        <v>280</v>
      </c>
      <c r="D671" s="40" t="s">
        <v>231</v>
      </c>
      <c r="E671" s="20" t="s">
        <v>225</v>
      </c>
      <c r="F671" s="2"/>
      <c r="G671" s="10">
        <f>'пр.5.1.ведом.21-22'!G315</f>
        <v>0</v>
      </c>
      <c r="H671" s="10">
        <f>'пр.5.1.ведом.21-22'!H315</f>
        <v>0</v>
      </c>
    </row>
    <row r="672" spans="1:8" ht="47.25" hidden="1" x14ac:dyDescent="0.25">
      <c r="A672" s="25" t="s">
        <v>1269</v>
      </c>
      <c r="B672" s="20" t="s">
        <v>1267</v>
      </c>
      <c r="C672" s="40" t="s">
        <v>280</v>
      </c>
      <c r="D672" s="40" t="s">
        <v>231</v>
      </c>
      <c r="E672" s="20" t="s">
        <v>225</v>
      </c>
      <c r="F672" s="2">
        <v>903</v>
      </c>
      <c r="G672" s="10">
        <f>G671</f>
        <v>0</v>
      </c>
      <c r="H672" s="10">
        <f>H671</f>
        <v>0</v>
      </c>
    </row>
    <row r="673" spans="1:8" ht="78.75" hidden="1" x14ac:dyDescent="0.25">
      <c r="A673" s="41" t="s">
        <v>821</v>
      </c>
      <c r="B673" s="7" t="s">
        <v>340</v>
      </c>
      <c r="C673" s="72"/>
      <c r="D673" s="72"/>
      <c r="E673" s="72"/>
      <c r="F673" s="72"/>
      <c r="G673" s="59">
        <f>G674</f>
        <v>0</v>
      </c>
      <c r="H673" s="59">
        <f>H674</f>
        <v>0</v>
      </c>
    </row>
    <row r="674" spans="1:8" ht="63" hidden="1" x14ac:dyDescent="0.25">
      <c r="A674" s="34" t="s">
        <v>1191</v>
      </c>
      <c r="B674" s="7" t="s">
        <v>1025</v>
      </c>
      <c r="C674" s="7"/>
      <c r="D674" s="7"/>
      <c r="E674" s="72"/>
      <c r="F674" s="72"/>
      <c r="G674" s="59">
        <f>G675+G681+G692+G698</f>
        <v>0</v>
      </c>
      <c r="H674" s="59">
        <f>H675+H681+H692+H698</f>
        <v>0</v>
      </c>
    </row>
    <row r="675" spans="1:8" ht="15.75" hidden="1" x14ac:dyDescent="0.25">
      <c r="A675" s="31" t="s">
        <v>406</v>
      </c>
      <c r="B675" s="40" t="s">
        <v>1025</v>
      </c>
      <c r="C675" s="40" t="s">
        <v>250</v>
      </c>
      <c r="D675" s="40"/>
      <c r="E675" s="72"/>
      <c r="F675" s="72"/>
      <c r="G675" s="10">
        <f t="shared" ref="G675:H678" si="88">G676</f>
        <v>0</v>
      </c>
      <c r="H675" s="10">
        <f t="shared" si="88"/>
        <v>0</v>
      </c>
    </row>
    <row r="676" spans="1:8" ht="31.5" hidden="1" x14ac:dyDescent="0.25">
      <c r="A676" s="31" t="s">
        <v>585</v>
      </c>
      <c r="B676" s="40" t="s">
        <v>1025</v>
      </c>
      <c r="C676" s="40" t="s">
        <v>250</v>
      </c>
      <c r="D676" s="40" t="s">
        <v>250</v>
      </c>
      <c r="E676" s="72"/>
      <c r="F676" s="72"/>
      <c r="G676" s="10">
        <f t="shared" si="88"/>
        <v>0</v>
      </c>
      <c r="H676" s="10">
        <f t="shared" si="88"/>
        <v>0</v>
      </c>
    </row>
    <row r="677" spans="1:8" ht="47.25" hidden="1" x14ac:dyDescent="0.25">
      <c r="A677" s="31" t="s">
        <v>1273</v>
      </c>
      <c r="B677" s="20" t="s">
        <v>1192</v>
      </c>
      <c r="C677" s="40" t="s">
        <v>250</v>
      </c>
      <c r="D677" s="40" t="s">
        <v>250</v>
      </c>
      <c r="E677" s="72"/>
      <c r="F677" s="72"/>
      <c r="G677" s="10">
        <f t="shared" si="88"/>
        <v>0</v>
      </c>
      <c r="H677" s="10">
        <f t="shared" si="88"/>
        <v>0</v>
      </c>
    </row>
    <row r="678" spans="1:8" ht="31.5" hidden="1" x14ac:dyDescent="0.25">
      <c r="A678" s="25" t="s">
        <v>147</v>
      </c>
      <c r="B678" s="20" t="s">
        <v>1192</v>
      </c>
      <c r="C678" s="40" t="s">
        <v>250</v>
      </c>
      <c r="D678" s="40" t="s">
        <v>250</v>
      </c>
      <c r="E678" s="2">
        <v>200</v>
      </c>
      <c r="F678" s="72"/>
      <c r="G678" s="10">
        <f t="shared" si="88"/>
        <v>0</v>
      </c>
      <c r="H678" s="10">
        <f t="shared" si="88"/>
        <v>0</v>
      </c>
    </row>
    <row r="679" spans="1:8" ht="47.25" hidden="1" x14ac:dyDescent="0.25">
      <c r="A679" s="25" t="s">
        <v>149</v>
      </c>
      <c r="B679" s="20" t="s">
        <v>1192</v>
      </c>
      <c r="C679" s="40" t="s">
        <v>250</v>
      </c>
      <c r="D679" s="40" t="s">
        <v>250</v>
      </c>
      <c r="E679" s="2">
        <v>240</v>
      </c>
      <c r="F679" s="72"/>
      <c r="G679" s="10">
        <f>'пр.5.1.ведом.21-22'!G1053</f>
        <v>0</v>
      </c>
      <c r="H679" s="10">
        <f>'пр.5.1.ведом.21-22'!H1053</f>
        <v>0</v>
      </c>
    </row>
    <row r="680" spans="1:8" ht="63" hidden="1" x14ac:dyDescent="0.25">
      <c r="A680" s="31" t="s">
        <v>1307</v>
      </c>
      <c r="B680" s="20" t="s">
        <v>1192</v>
      </c>
      <c r="C680" s="40" t="s">
        <v>250</v>
      </c>
      <c r="D680" s="40" t="s">
        <v>250</v>
      </c>
      <c r="E680" s="2">
        <v>240</v>
      </c>
      <c r="F680" s="2">
        <v>908</v>
      </c>
      <c r="G680" s="10">
        <f>G679</f>
        <v>0</v>
      </c>
      <c r="H680" s="10">
        <f>H679</f>
        <v>0</v>
      </c>
    </row>
    <row r="681" spans="1:8" ht="15.75" hidden="1" x14ac:dyDescent="0.25">
      <c r="A681" s="25" t="s">
        <v>279</v>
      </c>
      <c r="B681" s="40" t="s">
        <v>1025</v>
      </c>
      <c r="C681" s="40" t="s">
        <v>280</v>
      </c>
      <c r="D681" s="73"/>
      <c r="E681" s="73"/>
      <c r="F681" s="73"/>
      <c r="G681" s="10">
        <f>G682+G687</f>
        <v>0</v>
      </c>
      <c r="H681" s="10">
        <f>H682+H687</f>
        <v>0</v>
      </c>
    </row>
    <row r="682" spans="1:8" ht="15.75" hidden="1" x14ac:dyDescent="0.25">
      <c r="A682" s="25" t="s">
        <v>420</v>
      </c>
      <c r="B682" s="40" t="s">
        <v>1025</v>
      </c>
      <c r="C682" s="40" t="s">
        <v>280</v>
      </c>
      <c r="D682" s="40" t="s">
        <v>134</v>
      </c>
      <c r="E682" s="73"/>
      <c r="F682" s="73"/>
      <c r="G682" s="10">
        <f t="shared" ref="G682:H684" si="89">G683</f>
        <v>0</v>
      </c>
      <c r="H682" s="10">
        <f t="shared" si="89"/>
        <v>0</v>
      </c>
    </row>
    <row r="683" spans="1:8" ht="47.25" hidden="1" x14ac:dyDescent="0.25">
      <c r="A683" s="31" t="s">
        <v>1274</v>
      </c>
      <c r="B683" s="20" t="s">
        <v>1026</v>
      </c>
      <c r="C683" s="40" t="s">
        <v>280</v>
      </c>
      <c r="D683" s="40" t="s">
        <v>134</v>
      </c>
      <c r="E683" s="72"/>
      <c r="F683" s="72"/>
      <c r="G683" s="10">
        <f t="shared" si="89"/>
        <v>0</v>
      </c>
      <c r="H683" s="10">
        <f t="shared" si="89"/>
        <v>0</v>
      </c>
    </row>
    <row r="684" spans="1:8" ht="47.25" hidden="1" x14ac:dyDescent="0.25">
      <c r="A684" s="31" t="s">
        <v>288</v>
      </c>
      <c r="B684" s="20" t="s">
        <v>1026</v>
      </c>
      <c r="C684" s="40" t="s">
        <v>280</v>
      </c>
      <c r="D684" s="40" t="s">
        <v>134</v>
      </c>
      <c r="E684" s="40" t="s">
        <v>289</v>
      </c>
      <c r="F684" s="72"/>
      <c r="G684" s="10">
        <f t="shared" si="89"/>
        <v>0</v>
      </c>
      <c r="H684" s="10">
        <f t="shared" si="89"/>
        <v>0</v>
      </c>
    </row>
    <row r="685" spans="1:8" ht="15.75" hidden="1" x14ac:dyDescent="0.25">
      <c r="A685" s="31" t="s">
        <v>290</v>
      </c>
      <c r="B685" s="20" t="s">
        <v>1026</v>
      </c>
      <c r="C685" s="40" t="s">
        <v>280</v>
      </c>
      <c r="D685" s="40" t="s">
        <v>134</v>
      </c>
      <c r="E685" s="40" t="s">
        <v>291</v>
      </c>
      <c r="F685" s="72"/>
      <c r="G685" s="10">
        <f>'пр.5.1.ведом.21-22'!G605</f>
        <v>0</v>
      </c>
      <c r="H685" s="10">
        <f>'пр.5.1.ведом.21-22'!H605</f>
        <v>0</v>
      </c>
    </row>
    <row r="686" spans="1:8" ht="31.5" hidden="1" x14ac:dyDescent="0.25">
      <c r="A686" s="31" t="s">
        <v>419</v>
      </c>
      <c r="B686" s="20" t="s">
        <v>1026</v>
      </c>
      <c r="C686" s="40" t="s">
        <v>280</v>
      </c>
      <c r="D686" s="40" t="s">
        <v>134</v>
      </c>
      <c r="E686" s="40" t="s">
        <v>291</v>
      </c>
      <c r="F686" s="2">
        <v>906</v>
      </c>
      <c r="G686" s="10">
        <f>G685</f>
        <v>0</v>
      </c>
      <c r="H686" s="10">
        <f>H685</f>
        <v>0</v>
      </c>
    </row>
    <row r="687" spans="1:8" ht="15.75" hidden="1" x14ac:dyDescent="0.25">
      <c r="A687" s="29" t="s">
        <v>441</v>
      </c>
      <c r="B687" s="40" t="s">
        <v>1025</v>
      </c>
      <c r="C687" s="40" t="s">
        <v>280</v>
      </c>
      <c r="D687" s="40" t="s">
        <v>229</v>
      </c>
      <c r="E687" s="40"/>
      <c r="F687" s="73"/>
      <c r="G687" s="10">
        <f t="shared" ref="G687:H689" si="90">G688</f>
        <v>0</v>
      </c>
      <c r="H687" s="10">
        <f t="shared" si="90"/>
        <v>0</v>
      </c>
    </row>
    <row r="688" spans="1:8" ht="47.25" hidden="1" x14ac:dyDescent="0.25">
      <c r="A688" s="31" t="s">
        <v>1274</v>
      </c>
      <c r="B688" s="20" t="s">
        <v>1026</v>
      </c>
      <c r="C688" s="40" t="s">
        <v>280</v>
      </c>
      <c r="D688" s="40" t="s">
        <v>229</v>
      </c>
      <c r="E688" s="40"/>
      <c r="F688" s="72"/>
      <c r="G688" s="10">
        <f t="shared" si="90"/>
        <v>0</v>
      </c>
      <c r="H688" s="10">
        <f t="shared" si="90"/>
        <v>0</v>
      </c>
    </row>
    <row r="689" spans="1:8" ht="47.25" hidden="1" x14ac:dyDescent="0.25">
      <c r="A689" s="31" t="s">
        <v>288</v>
      </c>
      <c r="B689" s="20" t="s">
        <v>1026</v>
      </c>
      <c r="C689" s="40" t="s">
        <v>280</v>
      </c>
      <c r="D689" s="40" t="s">
        <v>229</v>
      </c>
      <c r="E689" s="40" t="s">
        <v>289</v>
      </c>
      <c r="F689" s="72"/>
      <c r="G689" s="10">
        <f t="shared" si="90"/>
        <v>0</v>
      </c>
      <c r="H689" s="10">
        <f t="shared" si="90"/>
        <v>0</v>
      </c>
    </row>
    <row r="690" spans="1:8" ht="15.75" hidden="1" x14ac:dyDescent="0.25">
      <c r="A690" s="31" t="s">
        <v>290</v>
      </c>
      <c r="B690" s="20" t="s">
        <v>1026</v>
      </c>
      <c r="C690" s="40" t="s">
        <v>280</v>
      </c>
      <c r="D690" s="40" t="s">
        <v>229</v>
      </c>
      <c r="E690" s="40" t="s">
        <v>291</v>
      </c>
      <c r="F690" s="72"/>
      <c r="G690" s="10">
        <f>'пр.5.1.ведом.21-22'!G696</f>
        <v>0</v>
      </c>
      <c r="H690" s="10">
        <f>'пр.5.1.ведом.21-22'!H696</f>
        <v>0</v>
      </c>
    </row>
    <row r="691" spans="1:8" ht="31.5" hidden="1" x14ac:dyDescent="0.25">
      <c r="A691" s="31" t="s">
        <v>419</v>
      </c>
      <c r="B691" s="20" t="s">
        <v>1026</v>
      </c>
      <c r="C691" s="40" t="s">
        <v>280</v>
      </c>
      <c r="D691" s="40" t="s">
        <v>229</v>
      </c>
      <c r="E691" s="40" t="s">
        <v>291</v>
      </c>
      <c r="F691" s="2">
        <v>906</v>
      </c>
      <c r="G691" s="10">
        <f>G690</f>
        <v>0</v>
      </c>
      <c r="H691" s="10">
        <f>H690</f>
        <v>0</v>
      </c>
    </row>
    <row r="692" spans="1:8" ht="15.75" hidden="1" x14ac:dyDescent="0.25">
      <c r="A692" s="31" t="s">
        <v>314</v>
      </c>
      <c r="B692" s="20" t="s">
        <v>1025</v>
      </c>
      <c r="C692" s="40" t="s">
        <v>315</v>
      </c>
      <c r="D692" s="40"/>
      <c r="E692" s="40"/>
      <c r="F692" s="2"/>
      <c r="G692" s="10">
        <f t="shared" ref="G692:H695" si="91">G693</f>
        <v>0</v>
      </c>
      <c r="H692" s="10">
        <f t="shared" si="91"/>
        <v>0</v>
      </c>
    </row>
    <row r="693" spans="1:8" ht="15.75" hidden="1" x14ac:dyDescent="0.25">
      <c r="A693" s="31" t="s">
        <v>316</v>
      </c>
      <c r="B693" s="20" t="s">
        <v>1025</v>
      </c>
      <c r="C693" s="40" t="s">
        <v>315</v>
      </c>
      <c r="D693" s="40" t="s">
        <v>134</v>
      </c>
      <c r="E693" s="40"/>
      <c r="F693" s="2"/>
      <c r="G693" s="10">
        <f t="shared" si="91"/>
        <v>0</v>
      </c>
      <c r="H693" s="10">
        <f t="shared" si="91"/>
        <v>0</v>
      </c>
    </row>
    <row r="694" spans="1:8" ht="47.25" hidden="1" x14ac:dyDescent="0.25">
      <c r="A694" s="31" t="s">
        <v>1273</v>
      </c>
      <c r="B694" s="20" t="s">
        <v>1192</v>
      </c>
      <c r="C694" s="40" t="s">
        <v>315</v>
      </c>
      <c r="D694" s="40" t="s">
        <v>134</v>
      </c>
      <c r="E694" s="40"/>
      <c r="F694" s="2"/>
      <c r="G694" s="10">
        <f t="shared" si="91"/>
        <v>0</v>
      </c>
      <c r="H694" s="10">
        <f t="shared" si="91"/>
        <v>0</v>
      </c>
    </row>
    <row r="695" spans="1:8" ht="31.5" hidden="1" x14ac:dyDescent="0.25">
      <c r="A695" s="25" t="s">
        <v>147</v>
      </c>
      <c r="B695" s="20" t="s">
        <v>1192</v>
      </c>
      <c r="C695" s="40" t="s">
        <v>315</v>
      </c>
      <c r="D695" s="40" t="s">
        <v>134</v>
      </c>
      <c r="E695" s="40" t="s">
        <v>148</v>
      </c>
      <c r="F695" s="2"/>
      <c r="G695" s="10">
        <f t="shared" si="91"/>
        <v>0</v>
      </c>
      <c r="H695" s="10">
        <f t="shared" si="91"/>
        <v>0</v>
      </c>
    </row>
    <row r="696" spans="1:8" ht="47.25" hidden="1" x14ac:dyDescent="0.25">
      <c r="A696" s="25" t="s">
        <v>149</v>
      </c>
      <c r="B696" s="20" t="s">
        <v>1192</v>
      </c>
      <c r="C696" s="40" t="s">
        <v>315</v>
      </c>
      <c r="D696" s="40" t="s">
        <v>134</v>
      </c>
      <c r="E696" s="40" t="s">
        <v>150</v>
      </c>
      <c r="F696" s="2"/>
      <c r="G696" s="10">
        <f>'пр.5.1.ведом.21-22'!G409</f>
        <v>0</v>
      </c>
      <c r="H696" s="10">
        <f>'пр.5.1.ведом.21-22'!H409</f>
        <v>0</v>
      </c>
    </row>
    <row r="697" spans="1:8" ht="47.25" hidden="1" x14ac:dyDescent="0.25">
      <c r="A697" s="25" t="s">
        <v>277</v>
      </c>
      <c r="B697" s="20" t="s">
        <v>1192</v>
      </c>
      <c r="C697" s="40" t="s">
        <v>315</v>
      </c>
      <c r="D697" s="40" t="s">
        <v>134</v>
      </c>
      <c r="E697" s="40" t="s">
        <v>150</v>
      </c>
      <c r="F697" s="2">
        <v>903</v>
      </c>
      <c r="G697" s="10">
        <f>G696</f>
        <v>0</v>
      </c>
      <c r="H697" s="10">
        <f>H696</f>
        <v>0</v>
      </c>
    </row>
    <row r="698" spans="1:8" ht="15.75" hidden="1" x14ac:dyDescent="0.25">
      <c r="A698" s="73" t="s">
        <v>506</v>
      </c>
      <c r="B698" s="40" t="s">
        <v>1025</v>
      </c>
      <c r="C698" s="40" t="s">
        <v>507</v>
      </c>
      <c r="D698" s="73"/>
      <c r="E698" s="73"/>
      <c r="F698" s="73"/>
      <c r="G698" s="10">
        <f t="shared" ref="G698:H699" si="92">G699</f>
        <v>0</v>
      </c>
      <c r="H698" s="10">
        <f t="shared" si="92"/>
        <v>0</v>
      </c>
    </row>
    <row r="699" spans="1:8" ht="15.75" hidden="1" x14ac:dyDescent="0.25">
      <c r="A699" s="73" t="s">
        <v>508</v>
      </c>
      <c r="B699" s="40" t="s">
        <v>1025</v>
      </c>
      <c r="C699" s="40" t="s">
        <v>507</v>
      </c>
      <c r="D699" s="40" t="s">
        <v>134</v>
      </c>
      <c r="E699" s="73"/>
      <c r="F699" s="73"/>
      <c r="G699" s="10">
        <f t="shared" si="92"/>
        <v>0</v>
      </c>
      <c r="H699" s="10">
        <f t="shared" si="92"/>
        <v>0</v>
      </c>
    </row>
    <row r="700" spans="1:8" ht="47.25" hidden="1" x14ac:dyDescent="0.25">
      <c r="A700" s="31" t="s">
        <v>1274</v>
      </c>
      <c r="B700" s="40" t="s">
        <v>1026</v>
      </c>
      <c r="C700" s="40" t="s">
        <v>507</v>
      </c>
      <c r="D700" s="40" t="s">
        <v>134</v>
      </c>
      <c r="E700" s="73"/>
      <c r="F700" s="73"/>
      <c r="G700" s="10">
        <f>G701</f>
        <v>0</v>
      </c>
      <c r="H700" s="10">
        <f>H701</f>
        <v>0</v>
      </c>
    </row>
    <row r="701" spans="1:8" ht="47.25" hidden="1" x14ac:dyDescent="0.25">
      <c r="A701" s="25" t="s">
        <v>288</v>
      </c>
      <c r="B701" s="40" t="s">
        <v>1026</v>
      </c>
      <c r="C701" s="40" t="s">
        <v>507</v>
      </c>
      <c r="D701" s="40" t="s">
        <v>134</v>
      </c>
      <c r="E701" s="40" t="s">
        <v>289</v>
      </c>
      <c r="F701" s="73"/>
      <c r="G701" s="10">
        <f>G702</f>
        <v>0</v>
      </c>
      <c r="H701" s="10">
        <f>H702</f>
        <v>0</v>
      </c>
    </row>
    <row r="702" spans="1:8" ht="15.75" hidden="1" x14ac:dyDescent="0.25">
      <c r="A702" s="25" t="s">
        <v>290</v>
      </c>
      <c r="B702" s="40" t="s">
        <v>1026</v>
      </c>
      <c r="C702" s="40" t="s">
        <v>507</v>
      </c>
      <c r="D702" s="40" t="s">
        <v>134</v>
      </c>
      <c r="E702" s="40" t="s">
        <v>291</v>
      </c>
      <c r="F702" s="73"/>
      <c r="G702" s="10">
        <v>0</v>
      </c>
      <c r="H702" s="10">
        <v>0</v>
      </c>
    </row>
    <row r="703" spans="1:8" ht="47.25" hidden="1" x14ac:dyDescent="0.25">
      <c r="A703" s="45" t="s">
        <v>496</v>
      </c>
      <c r="B703" s="40" t="s">
        <v>1026</v>
      </c>
      <c r="C703" s="40" t="s">
        <v>507</v>
      </c>
      <c r="D703" s="40" t="s">
        <v>134</v>
      </c>
      <c r="E703" s="40" t="s">
        <v>291</v>
      </c>
      <c r="F703" s="2">
        <v>907</v>
      </c>
      <c r="G703" s="10">
        <f>G702</f>
        <v>0</v>
      </c>
      <c r="H703" s="10">
        <f>H702</f>
        <v>0</v>
      </c>
    </row>
    <row r="704" spans="1:8" ht="63" x14ac:dyDescent="0.25">
      <c r="A704" s="41" t="s">
        <v>558</v>
      </c>
      <c r="B704" s="7" t="s">
        <v>559</v>
      </c>
      <c r="C704" s="2"/>
      <c r="D704" s="2"/>
      <c r="E704" s="2"/>
      <c r="F704" s="2"/>
      <c r="G704" s="59">
        <f t="shared" ref="G704:H704" si="93">G705+G727</f>
        <v>3244.5</v>
      </c>
      <c r="H704" s="59">
        <f t="shared" si="93"/>
        <v>10636.5</v>
      </c>
    </row>
    <row r="705" spans="1:8" ht="63" x14ac:dyDescent="0.25">
      <c r="A705" s="41" t="s">
        <v>560</v>
      </c>
      <c r="B705" s="7" t="s">
        <v>561</v>
      </c>
      <c r="C705" s="7"/>
      <c r="D705" s="7"/>
      <c r="E705" s="3"/>
      <c r="F705" s="3"/>
      <c r="G705" s="59">
        <f t="shared" ref="G705:H705" si="94">G707</f>
        <v>940</v>
      </c>
      <c r="H705" s="59">
        <f t="shared" si="94"/>
        <v>940</v>
      </c>
    </row>
    <row r="706" spans="1:8" ht="47.25" x14ac:dyDescent="0.25">
      <c r="A706" s="23" t="s">
        <v>1122</v>
      </c>
      <c r="B706" s="7" t="s">
        <v>1120</v>
      </c>
      <c r="C706" s="7"/>
      <c r="D706" s="7"/>
      <c r="E706" s="3"/>
      <c r="F706" s="3"/>
      <c r="G706" s="59">
        <f>G707</f>
        <v>940</v>
      </c>
      <c r="H706" s="59">
        <f>H707</f>
        <v>940</v>
      </c>
    </row>
    <row r="707" spans="1:8" ht="15.75" x14ac:dyDescent="0.25">
      <c r="A707" s="73" t="s">
        <v>406</v>
      </c>
      <c r="B707" s="40" t="s">
        <v>1120</v>
      </c>
      <c r="C707" s="40" t="s">
        <v>250</v>
      </c>
      <c r="D707" s="40"/>
      <c r="E707" s="2"/>
      <c r="F707" s="2"/>
      <c r="G707" s="10">
        <f t="shared" ref="G707:H707" si="95">G708</f>
        <v>940</v>
      </c>
      <c r="H707" s="10">
        <f t="shared" si="95"/>
        <v>940</v>
      </c>
    </row>
    <row r="708" spans="1:8" ht="15.75" x14ac:dyDescent="0.25">
      <c r="A708" s="73" t="s">
        <v>557</v>
      </c>
      <c r="B708" s="40" t="s">
        <v>1120</v>
      </c>
      <c r="C708" s="40" t="s">
        <v>250</v>
      </c>
      <c r="D708" s="40" t="s">
        <v>231</v>
      </c>
      <c r="E708" s="2"/>
      <c r="F708" s="2"/>
      <c r="G708" s="10">
        <f t="shared" ref="G708:H708" si="96">G709+G713+G723</f>
        <v>940</v>
      </c>
      <c r="H708" s="10">
        <f t="shared" si="96"/>
        <v>940</v>
      </c>
    </row>
    <row r="709" spans="1:8" ht="31.5" x14ac:dyDescent="0.25">
      <c r="A709" s="25" t="s">
        <v>562</v>
      </c>
      <c r="B709" s="20" t="s">
        <v>1121</v>
      </c>
      <c r="C709" s="40" t="s">
        <v>250</v>
      </c>
      <c r="D709" s="40" t="s">
        <v>231</v>
      </c>
      <c r="E709" s="2"/>
      <c r="F709" s="2"/>
      <c r="G709" s="10">
        <f t="shared" ref="G709:H710" si="97">G710</f>
        <v>90</v>
      </c>
      <c r="H709" s="10">
        <f t="shared" si="97"/>
        <v>90</v>
      </c>
    </row>
    <row r="710" spans="1:8" ht="31.5" x14ac:dyDescent="0.25">
      <c r="A710" s="25" t="s">
        <v>147</v>
      </c>
      <c r="B710" s="20" t="s">
        <v>1121</v>
      </c>
      <c r="C710" s="40" t="s">
        <v>250</v>
      </c>
      <c r="D710" s="40" t="s">
        <v>231</v>
      </c>
      <c r="E710" s="2">
        <v>200</v>
      </c>
      <c r="F710" s="2"/>
      <c r="G710" s="10">
        <f t="shared" si="97"/>
        <v>90</v>
      </c>
      <c r="H710" s="10">
        <f t="shared" si="97"/>
        <v>90</v>
      </c>
    </row>
    <row r="711" spans="1:8" ht="47.25" x14ac:dyDescent="0.25">
      <c r="A711" s="25" t="s">
        <v>149</v>
      </c>
      <c r="B711" s="20" t="s">
        <v>1121</v>
      </c>
      <c r="C711" s="40" t="s">
        <v>250</v>
      </c>
      <c r="D711" s="40" t="s">
        <v>231</v>
      </c>
      <c r="E711" s="2">
        <v>240</v>
      </c>
      <c r="F711" s="2"/>
      <c r="G711" s="10">
        <f>'пр.5.1.ведом.21-22'!G981</f>
        <v>90</v>
      </c>
      <c r="H711" s="10">
        <f>'пр.5.1.ведом.21-22'!H981</f>
        <v>90</v>
      </c>
    </row>
    <row r="712" spans="1:8" ht="47.25" x14ac:dyDescent="0.25">
      <c r="A712" s="45" t="s">
        <v>640</v>
      </c>
      <c r="B712" s="20" t="s">
        <v>1121</v>
      </c>
      <c r="C712" s="40" t="s">
        <v>250</v>
      </c>
      <c r="D712" s="40" t="s">
        <v>231</v>
      </c>
      <c r="E712" s="2">
        <v>240</v>
      </c>
      <c r="F712" s="2">
        <v>908</v>
      </c>
      <c r="G712" s="10">
        <f>G711</f>
        <v>90</v>
      </c>
      <c r="H712" s="10">
        <f>H711</f>
        <v>90</v>
      </c>
    </row>
    <row r="713" spans="1:8" ht="15.75" x14ac:dyDescent="0.25">
      <c r="A713" s="25" t="s">
        <v>564</v>
      </c>
      <c r="B713" s="20" t="s">
        <v>1123</v>
      </c>
      <c r="C713" s="40" t="s">
        <v>250</v>
      </c>
      <c r="D713" s="40" t="s">
        <v>231</v>
      </c>
      <c r="E713" s="2"/>
      <c r="F713" s="2"/>
      <c r="G713" s="10">
        <f>G714+G717+G720</f>
        <v>650</v>
      </c>
      <c r="H713" s="10">
        <f>H714+H717+H720</f>
        <v>650</v>
      </c>
    </row>
    <row r="714" spans="1:8" ht="31.5" x14ac:dyDescent="0.25">
      <c r="A714" s="25" t="s">
        <v>147</v>
      </c>
      <c r="B714" s="20" t="s">
        <v>1123</v>
      </c>
      <c r="C714" s="40" t="s">
        <v>250</v>
      </c>
      <c r="D714" s="40" t="s">
        <v>231</v>
      </c>
      <c r="E714" s="2">
        <v>200</v>
      </c>
      <c r="F714" s="2"/>
      <c r="G714" s="10">
        <f t="shared" ref="G714:H714" si="98">G715</f>
        <v>650</v>
      </c>
      <c r="H714" s="10">
        <f t="shared" si="98"/>
        <v>650</v>
      </c>
    </row>
    <row r="715" spans="1:8" ht="47.25" x14ac:dyDescent="0.25">
      <c r="A715" s="25" t="s">
        <v>149</v>
      </c>
      <c r="B715" s="20" t="s">
        <v>1123</v>
      </c>
      <c r="C715" s="40" t="s">
        <v>250</v>
      </c>
      <c r="D715" s="40" t="s">
        <v>231</v>
      </c>
      <c r="E715" s="2">
        <v>240</v>
      </c>
      <c r="F715" s="2"/>
      <c r="G715" s="10">
        <f>'пр.5.1.ведом.21-22'!G984</f>
        <v>650</v>
      </c>
      <c r="H715" s="10">
        <f>'пр.5.1.ведом.21-22'!H984</f>
        <v>650</v>
      </c>
    </row>
    <row r="716" spans="1:8" ht="47.25" x14ac:dyDescent="0.25">
      <c r="A716" s="45" t="s">
        <v>640</v>
      </c>
      <c r="B716" s="20" t="s">
        <v>1123</v>
      </c>
      <c r="C716" s="40" t="s">
        <v>250</v>
      </c>
      <c r="D716" s="40" t="s">
        <v>231</v>
      </c>
      <c r="E716" s="2">
        <v>240</v>
      </c>
      <c r="F716" s="2">
        <v>908</v>
      </c>
      <c r="G716" s="10">
        <f>G715</f>
        <v>650</v>
      </c>
      <c r="H716" s="10">
        <f>H715</f>
        <v>650</v>
      </c>
    </row>
    <row r="717" spans="1:8" ht="15.75" hidden="1" x14ac:dyDescent="0.25">
      <c r="A717" s="25" t="s">
        <v>151</v>
      </c>
      <c r="B717" s="20" t="s">
        <v>1123</v>
      </c>
      <c r="C717" s="40" t="s">
        <v>250</v>
      </c>
      <c r="D717" s="40" t="s">
        <v>231</v>
      </c>
      <c r="E717" s="2">
        <v>800</v>
      </c>
      <c r="F717" s="2"/>
      <c r="G717" s="10">
        <f>G718</f>
        <v>0</v>
      </c>
      <c r="H717" s="10">
        <f>H718</f>
        <v>0</v>
      </c>
    </row>
    <row r="718" spans="1:8" ht="47.25" hidden="1" x14ac:dyDescent="0.25">
      <c r="A718" s="25" t="s">
        <v>882</v>
      </c>
      <c r="B718" s="20" t="s">
        <v>1123</v>
      </c>
      <c r="C718" s="40" t="s">
        <v>250</v>
      </c>
      <c r="D718" s="40" t="s">
        <v>231</v>
      </c>
      <c r="E718" s="2">
        <v>830</v>
      </c>
      <c r="F718" s="2"/>
      <c r="G718" s="10">
        <f>'пр.5.1.ведом.21-22'!G986</f>
        <v>0</v>
      </c>
      <c r="H718" s="10">
        <f>'пр.5.1.ведом.21-22'!H986</f>
        <v>0</v>
      </c>
    </row>
    <row r="719" spans="1:8" ht="47.25" hidden="1" x14ac:dyDescent="0.25">
      <c r="A719" s="45" t="s">
        <v>640</v>
      </c>
      <c r="B719" s="20" t="s">
        <v>1123</v>
      </c>
      <c r="C719" s="40" t="s">
        <v>250</v>
      </c>
      <c r="D719" s="40" t="s">
        <v>231</v>
      </c>
      <c r="E719" s="2">
        <v>830</v>
      </c>
      <c r="F719" s="2">
        <v>908</v>
      </c>
      <c r="G719" s="10">
        <f>G718</f>
        <v>0</v>
      </c>
      <c r="H719" s="10">
        <f>H718</f>
        <v>0</v>
      </c>
    </row>
    <row r="720" spans="1:8" ht="15.75" hidden="1" x14ac:dyDescent="0.25">
      <c r="A720" s="25" t="s">
        <v>151</v>
      </c>
      <c r="B720" s="20" t="s">
        <v>1123</v>
      </c>
      <c r="C720" s="40" t="s">
        <v>250</v>
      </c>
      <c r="D720" s="40" t="s">
        <v>231</v>
      </c>
      <c r="E720" s="2">
        <v>800</v>
      </c>
      <c r="F720" s="2"/>
      <c r="G720" s="10">
        <f>G721</f>
        <v>0</v>
      </c>
      <c r="H720" s="10">
        <f>H721</f>
        <v>0</v>
      </c>
    </row>
    <row r="721" spans="1:8" ht="15.75" hidden="1" x14ac:dyDescent="0.25">
      <c r="A721" s="25" t="s">
        <v>1270</v>
      </c>
      <c r="B721" s="20" t="s">
        <v>1123</v>
      </c>
      <c r="C721" s="40" t="s">
        <v>250</v>
      </c>
      <c r="D721" s="40" t="s">
        <v>231</v>
      </c>
      <c r="E721" s="2">
        <v>850</v>
      </c>
      <c r="F721" s="2"/>
      <c r="G721" s="10">
        <f>'пр.5.1.ведом.21-22'!G987</f>
        <v>0</v>
      </c>
      <c r="H721" s="10">
        <f>'пр.5.1.ведом.21-22'!H987</f>
        <v>0</v>
      </c>
    </row>
    <row r="722" spans="1:8" ht="47.25" hidden="1" x14ac:dyDescent="0.25">
      <c r="A722" s="45" t="s">
        <v>640</v>
      </c>
      <c r="B722" s="20" t="s">
        <v>1123</v>
      </c>
      <c r="C722" s="40" t="s">
        <v>250</v>
      </c>
      <c r="D722" s="40" t="s">
        <v>231</v>
      </c>
      <c r="E722" s="2">
        <v>850</v>
      </c>
      <c r="F722" s="2">
        <v>908</v>
      </c>
      <c r="G722" s="10">
        <f>G721</f>
        <v>0</v>
      </c>
      <c r="H722" s="10">
        <f>H721</f>
        <v>0</v>
      </c>
    </row>
    <row r="723" spans="1:8" ht="15.75" x14ac:dyDescent="0.25">
      <c r="A723" s="25" t="s">
        <v>566</v>
      </c>
      <c r="B723" s="20" t="s">
        <v>1124</v>
      </c>
      <c r="C723" s="40" t="s">
        <v>250</v>
      </c>
      <c r="D723" s="40" t="s">
        <v>231</v>
      </c>
      <c r="E723" s="2"/>
      <c r="F723" s="2"/>
      <c r="G723" s="10">
        <f t="shared" ref="G723:H723" si="99">G724</f>
        <v>200</v>
      </c>
      <c r="H723" s="10">
        <f t="shared" si="99"/>
        <v>200</v>
      </c>
    </row>
    <row r="724" spans="1:8" ht="31.5" x14ac:dyDescent="0.25">
      <c r="A724" s="25" t="s">
        <v>147</v>
      </c>
      <c r="B724" s="20" t="s">
        <v>1124</v>
      </c>
      <c r="C724" s="40" t="s">
        <v>250</v>
      </c>
      <c r="D724" s="40" t="s">
        <v>231</v>
      </c>
      <c r="E724" s="2">
        <v>200</v>
      </c>
      <c r="F724" s="2"/>
      <c r="G724" s="10">
        <f>G725</f>
        <v>200</v>
      </c>
      <c r="H724" s="10">
        <f>H725</f>
        <v>200</v>
      </c>
    </row>
    <row r="725" spans="1:8" ht="47.25" x14ac:dyDescent="0.25">
      <c r="A725" s="25" t="s">
        <v>149</v>
      </c>
      <c r="B725" s="20" t="s">
        <v>1124</v>
      </c>
      <c r="C725" s="40" t="s">
        <v>250</v>
      </c>
      <c r="D725" s="40" t="s">
        <v>231</v>
      </c>
      <c r="E725" s="2">
        <v>240</v>
      </c>
      <c r="F725" s="2"/>
      <c r="G725" s="10">
        <f>'пр.5.1.ведом.21-22'!G990</f>
        <v>200</v>
      </c>
      <c r="H725" s="10">
        <f>'пр.5.1.ведом.21-22'!H990</f>
        <v>200</v>
      </c>
    </row>
    <row r="726" spans="1:8" ht="47.25" x14ac:dyDescent="0.25">
      <c r="A726" s="45" t="s">
        <v>640</v>
      </c>
      <c r="B726" s="20" t="s">
        <v>1124</v>
      </c>
      <c r="C726" s="40" t="s">
        <v>250</v>
      </c>
      <c r="D726" s="40" t="s">
        <v>231</v>
      </c>
      <c r="E726" s="2">
        <v>240</v>
      </c>
      <c r="F726" s="2">
        <v>908</v>
      </c>
      <c r="G726" s="10">
        <f>G725</f>
        <v>200</v>
      </c>
      <c r="H726" s="10">
        <f>H725</f>
        <v>200</v>
      </c>
    </row>
    <row r="727" spans="1:8" ht="47.25" x14ac:dyDescent="0.25">
      <c r="A727" s="23" t="s">
        <v>568</v>
      </c>
      <c r="B727" s="7" t="s">
        <v>569</v>
      </c>
      <c r="C727" s="7"/>
      <c r="D727" s="7"/>
      <c r="E727" s="3"/>
      <c r="F727" s="3"/>
      <c r="G727" s="59">
        <f>G729+G750</f>
        <v>2304.5</v>
      </c>
      <c r="H727" s="59">
        <f>H729+H750</f>
        <v>9696.5</v>
      </c>
    </row>
    <row r="728" spans="1:8" ht="31.5" x14ac:dyDescent="0.25">
      <c r="A728" s="23" t="s">
        <v>1140</v>
      </c>
      <c r="B728" s="7" t="s">
        <v>1125</v>
      </c>
      <c r="C728" s="7"/>
      <c r="D728" s="7"/>
      <c r="E728" s="3"/>
      <c r="F728" s="3"/>
      <c r="G728" s="59">
        <f>G729</f>
        <v>390</v>
      </c>
      <c r="H728" s="59">
        <f>H729</f>
        <v>390</v>
      </c>
    </row>
    <row r="729" spans="1:8" ht="15.75" x14ac:dyDescent="0.25">
      <c r="A729" s="73" t="s">
        <v>406</v>
      </c>
      <c r="B729" s="40" t="s">
        <v>1125</v>
      </c>
      <c r="C729" s="40" t="s">
        <v>250</v>
      </c>
      <c r="D729" s="40"/>
      <c r="E729" s="2"/>
      <c r="F729" s="2"/>
      <c r="G729" s="10">
        <f t="shared" ref="G729:H729" si="100">G730</f>
        <v>390</v>
      </c>
      <c r="H729" s="10">
        <f t="shared" si="100"/>
        <v>390</v>
      </c>
    </row>
    <row r="730" spans="1:8" ht="15.75" x14ac:dyDescent="0.25">
      <c r="A730" s="73" t="s">
        <v>557</v>
      </c>
      <c r="B730" s="40" t="s">
        <v>1125</v>
      </c>
      <c r="C730" s="40" t="s">
        <v>250</v>
      </c>
      <c r="D730" s="40" t="s">
        <v>231</v>
      </c>
      <c r="E730" s="2"/>
      <c r="F730" s="2"/>
      <c r="G730" s="10">
        <f>G746+G731+G735+G742</f>
        <v>390</v>
      </c>
      <c r="H730" s="10">
        <f>H746+H731+H735+H742</f>
        <v>390</v>
      </c>
    </row>
    <row r="731" spans="1:8" ht="15.75" x14ac:dyDescent="0.25">
      <c r="A731" s="25" t="s">
        <v>571</v>
      </c>
      <c r="B731" s="20" t="s">
        <v>1127</v>
      </c>
      <c r="C731" s="40" t="s">
        <v>250</v>
      </c>
      <c r="D731" s="40" t="s">
        <v>231</v>
      </c>
      <c r="E731" s="2"/>
      <c r="F731" s="2"/>
      <c r="G731" s="10">
        <f t="shared" ref="G731:H732" si="101">G732</f>
        <v>4</v>
      </c>
      <c r="H731" s="10">
        <f t="shared" si="101"/>
        <v>4</v>
      </c>
    </row>
    <row r="732" spans="1:8" ht="31.5" x14ac:dyDescent="0.25">
      <c r="A732" s="25" t="s">
        <v>147</v>
      </c>
      <c r="B732" s="20" t="s">
        <v>1127</v>
      </c>
      <c r="C732" s="40" t="s">
        <v>250</v>
      </c>
      <c r="D732" s="40" t="s">
        <v>231</v>
      </c>
      <c r="E732" s="2">
        <v>200</v>
      </c>
      <c r="F732" s="2"/>
      <c r="G732" s="10">
        <f t="shared" si="101"/>
        <v>4</v>
      </c>
      <c r="H732" s="10">
        <f t="shared" si="101"/>
        <v>4</v>
      </c>
    </row>
    <row r="733" spans="1:8" ht="47.25" x14ac:dyDescent="0.25">
      <c r="A733" s="25" t="s">
        <v>149</v>
      </c>
      <c r="B733" s="20" t="s">
        <v>1127</v>
      </c>
      <c r="C733" s="40" t="s">
        <v>250</v>
      </c>
      <c r="D733" s="40" t="s">
        <v>231</v>
      </c>
      <c r="E733" s="2">
        <v>240</v>
      </c>
      <c r="F733" s="2"/>
      <c r="G733" s="10">
        <f>'пр.5.1.ведом.21-22'!G995</f>
        <v>4</v>
      </c>
      <c r="H733" s="10">
        <f>'пр.5.1.ведом.21-22'!H995</f>
        <v>4</v>
      </c>
    </row>
    <row r="734" spans="1:8" ht="47.25" x14ac:dyDescent="0.25">
      <c r="A734" s="45" t="s">
        <v>640</v>
      </c>
      <c r="B734" s="20" t="s">
        <v>1127</v>
      </c>
      <c r="C734" s="40" t="s">
        <v>250</v>
      </c>
      <c r="D734" s="40" t="s">
        <v>231</v>
      </c>
      <c r="E734" s="2">
        <v>240</v>
      </c>
      <c r="F734" s="2">
        <v>908</v>
      </c>
      <c r="G734" s="10">
        <f>G733</f>
        <v>4</v>
      </c>
      <c r="H734" s="10">
        <f>H733</f>
        <v>4</v>
      </c>
    </row>
    <row r="735" spans="1:8" ht="47.25" x14ac:dyDescent="0.25">
      <c r="A735" s="45" t="s">
        <v>573</v>
      </c>
      <c r="B735" s="20" t="s">
        <v>1128</v>
      </c>
      <c r="C735" s="40" t="s">
        <v>250</v>
      </c>
      <c r="D735" s="40" t="s">
        <v>231</v>
      </c>
      <c r="E735" s="2"/>
      <c r="F735" s="2"/>
      <c r="G735" s="10">
        <f>G736+G739</f>
        <v>375</v>
      </c>
      <c r="H735" s="10">
        <f>H736+H739</f>
        <v>375</v>
      </c>
    </row>
    <row r="736" spans="1:8" ht="31.5" x14ac:dyDescent="0.25">
      <c r="A736" s="25" t="s">
        <v>147</v>
      </c>
      <c r="B736" s="20" t="s">
        <v>1128</v>
      </c>
      <c r="C736" s="40" t="s">
        <v>250</v>
      </c>
      <c r="D736" s="40" t="s">
        <v>231</v>
      </c>
      <c r="E736" s="2">
        <v>200</v>
      </c>
      <c r="F736" s="2"/>
      <c r="G736" s="10">
        <f t="shared" ref="G736:H736" si="102">G737</f>
        <v>300</v>
      </c>
      <c r="H736" s="10">
        <f t="shared" si="102"/>
        <v>300</v>
      </c>
    </row>
    <row r="737" spans="1:8" ht="47.25" x14ac:dyDescent="0.25">
      <c r="A737" s="25" t="s">
        <v>149</v>
      </c>
      <c r="B737" s="20" t="s">
        <v>1128</v>
      </c>
      <c r="C737" s="40" t="s">
        <v>250</v>
      </c>
      <c r="D737" s="40" t="s">
        <v>231</v>
      </c>
      <c r="E737" s="2">
        <v>240</v>
      </c>
      <c r="F737" s="2"/>
      <c r="G737" s="10">
        <f>'пр.5.1.ведом.21-22'!G998</f>
        <v>300</v>
      </c>
      <c r="H737" s="10">
        <f>'пр.5.1.ведом.21-22'!H998</f>
        <v>300</v>
      </c>
    </row>
    <row r="738" spans="1:8" ht="47.25" x14ac:dyDescent="0.25">
      <c r="A738" s="45" t="s">
        <v>640</v>
      </c>
      <c r="B738" s="20" t="s">
        <v>1128</v>
      </c>
      <c r="C738" s="40" t="s">
        <v>250</v>
      </c>
      <c r="D738" s="40" t="s">
        <v>231</v>
      </c>
      <c r="E738" s="2">
        <v>240</v>
      </c>
      <c r="F738" s="2">
        <v>908</v>
      </c>
      <c r="G738" s="10">
        <f>G737</f>
        <v>300</v>
      </c>
      <c r="H738" s="10">
        <f>H737</f>
        <v>300</v>
      </c>
    </row>
    <row r="739" spans="1:8" ht="15.75" x14ac:dyDescent="0.25">
      <c r="A739" s="29" t="s">
        <v>151</v>
      </c>
      <c r="B739" s="20" t="s">
        <v>1128</v>
      </c>
      <c r="C739" s="40" t="s">
        <v>250</v>
      </c>
      <c r="D739" s="40" t="s">
        <v>231</v>
      </c>
      <c r="E739" s="2">
        <v>800</v>
      </c>
      <c r="F739" s="2"/>
      <c r="G739" s="10">
        <f>G740</f>
        <v>75</v>
      </c>
      <c r="H739" s="10">
        <f>H740</f>
        <v>75</v>
      </c>
    </row>
    <row r="740" spans="1:8" s="217" customFormat="1" ht="15.75" x14ac:dyDescent="0.25">
      <c r="A740" s="25" t="s">
        <v>727</v>
      </c>
      <c r="B740" s="20" t="s">
        <v>1128</v>
      </c>
      <c r="C740" s="40" t="s">
        <v>250</v>
      </c>
      <c r="D740" s="40" t="s">
        <v>231</v>
      </c>
      <c r="E740" s="2">
        <v>850</v>
      </c>
      <c r="F740" s="2"/>
      <c r="G740" s="10">
        <f>'пр.5.1.ведом.21-22'!G1000</f>
        <v>75</v>
      </c>
      <c r="H740" s="10">
        <f>'пр.5.1.ведом.21-22'!H1000</f>
        <v>75</v>
      </c>
    </row>
    <row r="741" spans="1:8" s="217" customFormat="1" ht="47.25" x14ac:dyDescent="0.25">
      <c r="A741" s="45" t="s">
        <v>640</v>
      </c>
      <c r="B741" s="20" t="s">
        <v>1128</v>
      </c>
      <c r="C741" s="40" t="s">
        <v>250</v>
      </c>
      <c r="D741" s="40" t="s">
        <v>231</v>
      </c>
      <c r="E741" s="2">
        <v>850</v>
      </c>
      <c r="F741" s="2">
        <v>908</v>
      </c>
      <c r="G741" s="10">
        <f>G740</f>
        <v>75</v>
      </c>
      <c r="H741" s="10">
        <f>H740</f>
        <v>75</v>
      </c>
    </row>
    <row r="742" spans="1:8" s="217" customFormat="1" ht="31.5" hidden="1" x14ac:dyDescent="0.25">
      <c r="A742" s="45" t="s">
        <v>575</v>
      </c>
      <c r="B742" s="20" t="s">
        <v>1129</v>
      </c>
      <c r="C742" s="40" t="s">
        <v>250</v>
      </c>
      <c r="D742" s="40" t="s">
        <v>231</v>
      </c>
      <c r="E742" s="2"/>
      <c r="F742" s="2"/>
      <c r="G742" s="10">
        <f t="shared" ref="G742:H743" si="103">G743</f>
        <v>0</v>
      </c>
      <c r="H742" s="10">
        <f t="shared" si="103"/>
        <v>0</v>
      </c>
    </row>
    <row r="743" spans="1:8" s="217" customFormat="1" ht="31.5" hidden="1" x14ac:dyDescent="0.25">
      <c r="A743" s="25" t="s">
        <v>147</v>
      </c>
      <c r="B743" s="20" t="s">
        <v>1129</v>
      </c>
      <c r="C743" s="40" t="s">
        <v>250</v>
      </c>
      <c r="D743" s="40" t="s">
        <v>231</v>
      </c>
      <c r="E743" s="2">
        <v>200</v>
      </c>
      <c r="F743" s="2"/>
      <c r="G743" s="10">
        <f t="shared" si="103"/>
        <v>0</v>
      </c>
      <c r="H743" s="10">
        <f t="shared" si="103"/>
        <v>0</v>
      </c>
    </row>
    <row r="744" spans="1:8" ht="47.25" hidden="1" x14ac:dyDescent="0.25">
      <c r="A744" s="25" t="s">
        <v>149</v>
      </c>
      <c r="B744" s="20" t="s">
        <v>1129</v>
      </c>
      <c r="C744" s="40" t="s">
        <v>250</v>
      </c>
      <c r="D744" s="40" t="s">
        <v>231</v>
      </c>
      <c r="E744" s="2">
        <v>240</v>
      </c>
      <c r="F744" s="2"/>
      <c r="G744" s="10">
        <f>'пр.5.1.ведом.21-22'!G1003</f>
        <v>0</v>
      </c>
      <c r="H744" s="10">
        <f>'пр.5.1.ведом.21-22'!H1003</f>
        <v>0</v>
      </c>
    </row>
    <row r="745" spans="1:8" ht="47.25" hidden="1" x14ac:dyDescent="0.25">
      <c r="A745" s="45" t="s">
        <v>640</v>
      </c>
      <c r="B745" s="20" t="s">
        <v>1129</v>
      </c>
      <c r="C745" s="40" t="s">
        <v>250</v>
      </c>
      <c r="D745" s="40" t="s">
        <v>231</v>
      </c>
      <c r="E745" s="2">
        <v>850</v>
      </c>
      <c r="F745" s="2">
        <v>908</v>
      </c>
      <c r="G745" s="10">
        <f>G744</f>
        <v>0</v>
      </c>
      <c r="H745" s="10">
        <f>H744</f>
        <v>0</v>
      </c>
    </row>
    <row r="746" spans="1:8" ht="31.5" x14ac:dyDescent="0.25">
      <c r="A746" s="244" t="s">
        <v>1289</v>
      </c>
      <c r="B746" s="20" t="s">
        <v>1290</v>
      </c>
      <c r="C746" s="40" t="s">
        <v>250</v>
      </c>
      <c r="D746" s="40" t="s">
        <v>231</v>
      </c>
      <c r="E746" s="2"/>
      <c r="F746" s="2"/>
      <c r="G746" s="10">
        <f>G747</f>
        <v>11</v>
      </c>
      <c r="H746" s="10">
        <f>H747</f>
        <v>11</v>
      </c>
    </row>
    <row r="747" spans="1:8" ht="31.5" x14ac:dyDescent="0.25">
      <c r="A747" s="25" t="s">
        <v>147</v>
      </c>
      <c r="B747" s="20" t="s">
        <v>1290</v>
      </c>
      <c r="C747" s="40" t="s">
        <v>250</v>
      </c>
      <c r="D747" s="40" t="s">
        <v>231</v>
      </c>
      <c r="E747" s="2">
        <v>200</v>
      </c>
      <c r="F747" s="2"/>
      <c r="G747" s="10">
        <f>G748</f>
        <v>11</v>
      </c>
      <c r="H747" s="10">
        <f>H748</f>
        <v>11</v>
      </c>
    </row>
    <row r="748" spans="1:8" ht="47.25" x14ac:dyDescent="0.25">
      <c r="A748" s="25" t="s">
        <v>149</v>
      </c>
      <c r="B748" s="20" t="s">
        <v>1290</v>
      </c>
      <c r="C748" s="40" t="s">
        <v>250</v>
      </c>
      <c r="D748" s="40" t="s">
        <v>231</v>
      </c>
      <c r="E748" s="2">
        <v>240</v>
      </c>
      <c r="F748" s="2"/>
      <c r="G748" s="10">
        <f>'пр.5.1.ведом.21-22'!G1006</f>
        <v>11</v>
      </c>
      <c r="H748" s="10">
        <f>'пр.5.1.ведом.21-22'!H1006</f>
        <v>11</v>
      </c>
    </row>
    <row r="749" spans="1:8" ht="47.25" x14ac:dyDescent="0.25">
      <c r="A749" s="45" t="s">
        <v>640</v>
      </c>
      <c r="B749" s="20" t="s">
        <v>1290</v>
      </c>
      <c r="C749" s="40" t="s">
        <v>250</v>
      </c>
      <c r="D749" s="40" t="s">
        <v>231</v>
      </c>
      <c r="E749" s="2">
        <v>240</v>
      </c>
      <c r="F749" s="2">
        <v>908</v>
      </c>
      <c r="G749" s="10">
        <f>G748</f>
        <v>11</v>
      </c>
      <c r="H749" s="10">
        <f>H748</f>
        <v>11</v>
      </c>
    </row>
    <row r="750" spans="1:8" ht="31.5" x14ac:dyDescent="0.25">
      <c r="A750" s="23" t="s">
        <v>950</v>
      </c>
      <c r="B750" s="24" t="s">
        <v>1130</v>
      </c>
      <c r="C750" s="7"/>
      <c r="D750" s="7"/>
      <c r="E750" s="3"/>
      <c r="F750" s="3"/>
      <c r="G750" s="59">
        <f>G751</f>
        <v>1914.5</v>
      </c>
      <c r="H750" s="59">
        <f>H751</f>
        <v>9306.5</v>
      </c>
    </row>
    <row r="751" spans="1:8" ht="15.75" x14ac:dyDescent="0.25">
      <c r="A751" s="73" t="s">
        <v>406</v>
      </c>
      <c r="B751" s="40" t="s">
        <v>1130</v>
      </c>
      <c r="C751" s="40" t="s">
        <v>250</v>
      </c>
      <c r="D751" s="40"/>
      <c r="E751" s="2"/>
      <c r="F751" s="2"/>
      <c r="G751" s="10">
        <f t="shared" ref="G751:H751" si="104">G752</f>
        <v>1914.5</v>
      </c>
      <c r="H751" s="10">
        <f t="shared" si="104"/>
        <v>9306.5</v>
      </c>
    </row>
    <row r="752" spans="1:8" ht="15.75" x14ac:dyDescent="0.25">
      <c r="A752" s="73" t="s">
        <v>557</v>
      </c>
      <c r="B752" s="40" t="s">
        <v>1130</v>
      </c>
      <c r="C752" s="40" t="s">
        <v>250</v>
      </c>
      <c r="D752" s="40" t="s">
        <v>231</v>
      </c>
      <c r="E752" s="2"/>
      <c r="F752" s="2"/>
      <c r="G752" s="10">
        <f>G753+G757</f>
        <v>1914.5</v>
      </c>
      <c r="H752" s="10">
        <f>H753+H757</f>
        <v>9306.5</v>
      </c>
    </row>
    <row r="753" spans="1:8" ht="47.25" hidden="1" x14ac:dyDescent="0.25">
      <c r="A753" s="25" t="s">
        <v>707</v>
      </c>
      <c r="B753" s="20" t="s">
        <v>1131</v>
      </c>
      <c r="C753" s="40" t="s">
        <v>250</v>
      </c>
      <c r="D753" s="40" t="s">
        <v>231</v>
      </c>
      <c r="E753" s="2"/>
      <c r="F753" s="2"/>
      <c r="G753" s="10">
        <f>G754</f>
        <v>0</v>
      </c>
      <c r="H753" s="10">
        <f>H754</f>
        <v>0</v>
      </c>
    </row>
    <row r="754" spans="1:8" ht="31.5" hidden="1" x14ac:dyDescent="0.25">
      <c r="A754" s="25" t="s">
        <v>147</v>
      </c>
      <c r="B754" s="20" t="s">
        <v>1131</v>
      </c>
      <c r="C754" s="40" t="s">
        <v>250</v>
      </c>
      <c r="D754" s="40" t="s">
        <v>231</v>
      </c>
      <c r="E754" s="20" t="s">
        <v>148</v>
      </c>
      <c r="F754" s="2"/>
      <c r="G754" s="10">
        <f>G755</f>
        <v>0</v>
      </c>
      <c r="H754" s="10">
        <f>H755</f>
        <v>0</v>
      </c>
    </row>
    <row r="755" spans="1:8" ht="47.25" hidden="1" x14ac:dyDescent="0.25">
      <c r="A755" s="25" t="s">
        <v>149</v>
      </c>
      <c r="B755" s="20" t="s">
        <v>1131</v>
      </c>
      <c r="C755" s="40" t="s">
        <v>250</v>
      </c>
      <c r="D755" s="40" t="s">
        <v>231</v>
      </c>
      <c r="E755" s="20" t="s">
        <v>150</v>
      </c>
      <c r="F755" s="2"/>
      <c r="G755" s="10">
        <f>'пр.5.1.ведом.21-22'!G1010</f>
        <v>0</v>
      </c>
      <c r="H755" s="10">
        <f>'пр.5.1.ведом.21-22'!H1010</f>
        <v>0</v>
      </c>
    </row>
    <row r="756" spans="1:8" ht="47.25" hidden="1" x14ac:dyDescent="0.25">
      <c r="A756" s="45" t="s">
        <v>640</v>
      </c>
      <c r="B756" s="20" t="s">
        <v>1131</v>
      </c>
      <c r="C756" s="40" t="s">
        <v>250</v>
      </c>
      <c r="D756" s="40" t="s">
        <v>231</v>
      </c>
      <c r="E756" s="20" t="s">
        <v>150</v>
      </c>
      <c r="F756" s="2">
        <v>908</v>
      </c>
      <c r="G756" s="10">
        <f>G755</f>
        <v>0</v>
      </c>
      <c r="H756" s="10">
        <f>H755</f>
        <v>0</v>
      </c>
    </row>
    <row r="757" spans="1:8" ht="63" x14ac:dyDescent="0.25">
      <c r="A757" s="25" t="s">
        <v>1249</v>
      </c>
      <c r="B757" s="20" t="s">
        <v>1250</v>
      </c>
      <c r="C757" s="40" t="s">
        <v>250</v>
      </c>
      <c r="D757" s="40" t="s">
        <v>231</v>
      </c>
      <c r="E757" s="20"/>
      <c r="F757" s="2"/>
      <c r="G757" s="10">
        <f>G758</f>
        <v>1914.5</v>
      </c>
      <c r="H757" s="10">
        <f>H758</f>
        <v>9306.5</v>
      </c>
    </row>
    <row r="758" spans="1:8" ht="31.5" x14ac:dyDescent="0.25">
      <c r="A758" s="25" t="s">
        <v>147</v>
      </c>
      <c r="B758" s="20" t="s">
        <v>1250</v>
      </c>
      <c r="C758" s="40" t="s">
        <v>250</v>
      </c>
      <c r="D758" s="40" t="s">
        <v>231</v>
      </c>
      <c r="E758" s="20" t="s">
        <v>148</v>
      </c>
      <c r="F758" s="2"/>
      <c r="G758" s="10">
        <f>G759</f>
        <v>1914.5</v>
      </c>
      <c r="H758" s="10">
        <f>H759</f>
        <v>9306.5</v>
      </c>
    </row>
    <row r="759" spans="1:8" ht="47.25" x14ac:dyDescent="0.25">
      <c r="A759" s="25" t="s">
        <v>149</v>
      </c>
      <c r="B759" s="20" t="s">
        <v>1250</v>
      </c>
      <c r="C759" s="40" t="s">
        <v>250</v>
      </c>
      <c r="D759" s="40" t="s">
        <v>231</v>
      </c>
      <c r="E759" s="20" t="s">
        <v>150</v>
      </c>
      <c r="F759" s="2"/>
      <c r="G759" s="10">
        <f>'пр.5.1.ведом.21-22'!G1013</f>
        <v>1914.5</v>
      </c>
      <c r="H759" s="10">
        <f>'пр.5.1.ведом.21-22'!H1013</f>
        <v>9306.5</v>
      </c>
    </row>
    <row r="760" spans="1:8" ht="47.25" x14ac:dyDescent="0.25">
      <c r="A760" s="45" t="s">
        <v>640</v>
      </c>
      <c r="B760" s="20" t="s">
        <v>1250</v>
      </c>
      <c r="C760" s="40" t="s">
        <v>250</v>
      </c>
      <c r="D760" s="40" t="s">
        <v>231</v>
      </c>
      <c r="E760" s="20" t="s">
        <v>150</v>
      </c>
      <c r="F760" s="2">
        <v>908</v>
      </c>
      <c r="G760" s="10">
        <f>G759</f>
        <v>1914.5</v>
      </c>
      <c r="H760" s="10">
        <f>H759</f>
        <v>9306.5</v>
      </c>
    </row>
    <row r="761" spans="1:8" ht="47.25" x14ac:dyDescent="0.25">
      <c r="A761" s="34" t="s">
        <v>197</v>
      </c>
      <c r="B761" s="207" t="s">
        <v>198</v>
      </c>
      <c r="C761" s="7"/>
      <c r="D761" s="7"/>
      <c r="E761" s="7"/>
      <c r="F761" s="3"/>
      <c r="G761" s="59">
        <f>G762+G773</f>
        <v>306</v>
      </c>
      <c r="H761" s="59">
        <f>H762+H773</f>
        <v>306</v>
      </c>
    </row>
    <row r="762" spans="1:8" ht="47.25" x14ac:dyDescent="0.25">
      <c r="A762" s="34" t="s">
        <v>1159</v>
      </c>
      <c r="B762" s="207" t="s">
        <v>923</v>
      </c>
      <c r="C762" s="7"/>
      <c r="D762" s="7"/>
      <c r="E762" s="7"/>
      <c r="F762" s="3"/>
      <c r="G762" s="59">
        <f>G763</f>
        <v>256</v>
      </c>
      <c r="H762" s="59">
        <f>H763</f>
        <v>256</v>
      </c>
    </row>
    <row r="763" spans="1:8" ht="15.75" x14ac:dyDescent="0.25">
      <c r="A763" s="29" t="s">
        <v>248</v>
      </c>
      <c r="B763" s="5" t="s">
        <v>923</v>
      </c>
      <c r="C763" s="40" t="s">
        <v>166</v>
      </c>
      <c r="D763" s="40"/>
      <c r="E763" s="40"/>
      <c r="F763" s="2"/>
      <c r="G763" s="10">
        <f t="shared" ref="G763:H766" si="105">G764</f>
        <v>256</v>
      </c>
      <c r="H763" s="10">
        <f t="shared" si="105"/>
        <v>256</v>
      </c>
    </row>
    <row r="764" spans="1:8" ht="15.75" x14ac:dyDescent="0.25">
      <c r="A764" s="29" t="s">
        <v>249</v>
      </c>
      <c r="B764" s="30" t="s">
        <v>923</v>
      </c>
      <c r="C764" s="40" t="s">
        <v>166</v>
      </c>
      <c r="D764" s="40" t="s">
        <v>250</v>
      </c>
      <c r="E764" s="40"/>
      <c r="F764" s="2"/>
      <c r="G764" s="10">
        <f>G765+G769</f>
        <v>256</v>
      </c>
      <c r="H764" s="10">
        <f>H765+H769</f>
        <v>256</v>
      </c>
    </row>
    <row r="765" spans="1:8" ht="15.75" x14ac:dyDescent="0.25">
      <c r="A765" s="25" t="s">
        <v>924</v>
      </c>
      <c r="B765" s="20" t="s">
        <v>968</v>
      </c>
      <c r="C765" s="40" t="s">
        <v>166</v>
      </c>
      <c r="D765" s="40" t="s">
        <v>250</v>
      </c>
      <c r="E765" s="40"/>
      <c r="F765" s="2"/>
      <c r="G765" s="10">
        <f t="shared" si="105"/>
        <v>1</v>
      </c>
      <c r="H765" s="10">
        <f t="shared" si="105"/>
        <v>1</v>
      </c>
    </row>
    <row r="766" spans="1:8" ht="15.75" x14ac:dyDescent="0.25">
      <c r="A766" s="29" t="s">
        <v>151</v>
      </c>
      <c r="B766" s="20" t="s">
        <v>968</v>
      </c>
      <c r="C766" s="40" t="s">
        <v>166</v>
      </c>
      <c r="D766" s="40" t="s">
        <v>250</v>
      </c>
      <c r="E766" s="40" t="s">
        <v>161</v>
      </c>
      <c r="F766" s="2"/>
      <c r="G766" s="10">
        <f t="shared" si="105"/>
        <v>1</v>
      </c>
      <c r="H766" s="10">
        <f t="shared" si="105"/>
        <v>1</v>
      </c>
    </row>
    <row r="767" spans="1:8" ht="63" x14ac:dyDescent="0.25">
      <c r="A767" s="29" t="s">
        <v>200</v>
      </c>
      <c r="B767" s="20" t="s">
        <v>968</v>
      </c>
      <c r="C767" s="40" t="s">
        <v>166</v>
      </c>
      <c r="D767" s="40" t="s">
        <v>250</v>
      </c>
      <c r="E767" s="40" t="s">
        <v>176</v>
      </c>
      <c r="F767" s="2"/>
      <c r="G767" s="10">
        <f>'пр.5.1.ведом.21-22'!G166</f>
        <v>1</v>
      </c>
      <c r="H767" s="10">
        <f>'пр.5.1.ведом.21-22'!H166</f>
        <v>1</v>
      </c>
    </row>
    <row r="768" spans="1:8" ht="31.5" x14ac:dyDescent="0.25">
      <c r="A768" s="29" t="s">
        <v>164</v>
      </c>
      <c r="B768" s="20" t="s">
        <v>968</v>
      </c>
      <c r="C768" s="40" t="s">
        <v>166</v>
      </c>
      <c r="D768" s="40" t="s">
        <v>250</v>
      </c>
      <c r="E768" s="40" t="s">
        <v>176</v>
      </c>
      <c r="F768" s="2">
        <v>902</v>
      </c>
      <c r="G768" s="10">
        <f>G767</f>
        <v>1</v>
      </c>
      <c r="H768" s="10">
        <f>H767</f>
        <v>1</v>
      </c>
    </row>
    <row r="769" spans="1:8" ht="31.5" x14ac:dyDescent="0.25">
      <c r="A769" s="25" t="s">
        <v>251</v>
      </c>
      <c r="B769" s="20" t="s">
        <v>927</v>
      </c>
      <c r="C769" s="40" t="s">
        <v>166</v>
      </c>
      <c r="D769" s="40" t="s">
        <v>250</v>
      </c>
      <c r="E769" s="40"/>
      <c r="F769" s="2"/>
      <c r="G769" s="10">
        <f>G770</f>
        <v>255</v>
      </c>
      <c r="H769" s="10">
        <f>H770</f>
        <v>255</v>
      </c>
    </row>
    <row r="770" spans="1:8" ht="15.75" x14ac:dyDescent="0.25">
      <c r="A770" s="25" t="s">
        <v>151</v>
      </c>
      <c r="B770" s="20" t="s">
        <v>927</v>
      </c>
      <c r="C770" s="40" t="s">
        <v>166</v>
      </c>
      <c r="D770" s="40" t="s">
        <v>250</v>
      </c>
      <c r="E770" s="40" t="s">
        <v>161</v>
      </c>
      <c r="F770" s="2"/>
      <c r="G770" s="10">
        <f>G771</f>
        <v>255</v>
      </c>
      <c r="H770" s="10">
        <f>H771</f>
        <v>255</v>
      </c>
    </row>
    <row r="771" spans="1:8" ht="63" x14ac:dyDescent="0.25">
      <c r="A771" s="25" t="s">
        <v>200</v>
      </c>
      <c r="B771" s="20" t="s">
        <v>927</v>
      </c>
      <c r="C771" s="40" t="s">
        <v>166</v>
      </c>
      <c r="D771" s="40" t="s">
        <v>250</v>
      </c>
      <c r="E771" s="40" t="s">
        <v>176</v>
      </c>
      <c r="F771" s="2"/>
      <c r="G771" s="10">
        <f>'пр.5.1.ведом.21-22'!G169</f>
        <v>255</v>
      </c>
      <c r="H771" s="10">
        <f>'пр.5.1.ведом.21-22'!H169</f>
        <v>255</v>
      </c>
    </row>
    <row r="772" spans="1:8" ht="31.5" x14ac:dyDescent="0.25">
      <c r="A772" s="29" t="s">
        <v>164</v>
      </c>
      <c r="B772" s="20" t="s">
        <v>927</v>
      </c>
      <c r="C772" s="40" t="s">
        <v>166</v>
      </c>
      <c r="D772" s="40" t="s">
        <v>250</v>
      </c>
      <c r="E772" s="40" t="s">
        <v>176</v>
      </c>
      <c r="F772" s="2">
        <v>902</v>
      </c>
      <c r="G772" s="10">
        <f>G771</f>
        <v>255</v>
      </c>
      <c r="H772" s="10">
        <f>H771</f>
        <v>255</v>
      </c>
    </row>
    <row r="773" spans="1:8" ht="47.25" x14ac:dyDescent="0.25">
      <c r="A773" s="226" t="s">
        <v>1160</v>
      </c>
      <c r="B773" s="24" t="s">
        <v>926</v>
      </c>
      <c r="C773" s="40"/>
      <c r="D773" s="40"/>
      <c r="E773" s="40"/>
      <c r="F773" s="2"/>
      <c r="G773" s="10">
        <f t="shared" ref="G773:H777" si="106">G774</f>
        <v>50</v>
      </c>
      <c r="H773" s="10">
        <f t="shared" si="106"/>
        <v>50</v>
      </c>
    </row>
    <row r="774" spans="1:8" ht="15.75" x14ac:dyDescent="0.25">
      <c r="A774" s="29" t="s">
        <v>248</v>
      </c>
      <c r="B774" s="5" t="s">
        <v>923</v>
      </c>
      <c r="C774" s="40" t="s">
        <v>166</v>
      </c>
      <c r="D774" s="40"/>
      <c r="E774" s="40"/>
      <c r="F774" s="2"/>
      <c r="G774" s="10">
        <f t="shared" si="106"/>
        <v>50</v>
      </c>
      <c r="H774" s="10">
        <f t="shared" si="106"/>
        <v>50</v>
      </c>
    </row>
    <row r="775" spans="1:8" ht="15.75" x14ac:dyDescent="0.25">
      <c r="A775" s="29" t="s">
        <v>249</v>
      </c>
      <c r="B775" s="30" t="s">
        <v>923</v>
      </c>
      <c r="C775" s="40" t="s">
        <v>166</v>
      </c>
      <c r="D775" s="40" t="s">
        <v>250</v>
      </c>
      <c r="E775" s="40"/>
      <c r="F775" s="2"/>
      <c r="G775" s="10">
        <f t="shared" si="106"/>
        <v>50</v>
      </c>
      <c r="H775" s="10">
        <f t="shared" si="106"/>
        <v>50</v>
      </c>
    </row>
    <row r="776" spans="1:8" ht="15.75" x14ac:dyDescent="0.25">
      <c r="A776" s="25" t="s">
        <v>925</v>
      </c>
      <c r="B776" s="5" t="s">
        <v>969</v>
      </c>
      <c r="C776" s="40" t="s">
        <v>166</v>
      </c>
      <c r="D776" s="40" t="s">
        <v>250</v>
      </c>
      <c r="E776" s="40"/>
      <c r="F776" s="2"/>
      <c r="G776" s="10">
        <f t="shared" si="106"/>
        <v>50</v>
      </c>
      <c r="H776" s="10">
        <f t="shared" si="106"/>
        <v>50</v>
      </c>
    </row>
    <row r="777" spans="1:8" ht="15.75" x14ac:dyDescent="0.25">
      <c r="A777" s="29" t="s">
        <v>151</v>
      </c>
      <c r="B777" s="5" t="s">
        <v>969</v>
      </c>
      <c r="C777" s="40" t="s">
        <v>166</v>
      </c>
      <c r="D777" s="40" t="s">
        <v>250</v>
      </c>
      <c r="E777" s="40" t="s">
        <v>161</v>
      </c>
      <c r="F777" s="2"/>
      <c r="G777" s="10">
        <f t="shared" si="106"/>
        <v>50</v>
      </c>
      <c r="H777" s="10">
        <f t="shared" si="106"/>
        <v>50</v>
      </c>
    </row>
    <row r="778" spans="1:8" ht="63" x14ac:dyDescent="0.25">
      <c r="A778" s="29" t="s">
        <v>200</v>
      </c>
      <c r="B778" s="5" t="s">
        <v>969</v>
      </c>
      <c r="C778" s="40" t="s">
        <v>166</v>
      </c>
      <c r="D778" s="40" t="s">
        <v>250</v>
      </c>
      <c r="E778" s="40" t="s">
        <v>176</v>
      </c>
      <c r="F778" s="2"/>
      <c r="G778" s="10">
        <f>'пр.5.1.ведом.21-22'!G173</f>
        <v>50</v>
      </c>
      <c r="H778" s="10">
        <f>'пр.5.1.ведом.21-22'!H173</f>
        <v>50</v>
      </c>
    </row>
    <row r="779" spans="1:8" ht="31.5" x14ac:dyDescent="0.25">
      <c r="A779" s="29" t="s">
        <v>164</v>
      </c>
      <c r="B779" s="20" t="s">
        <v>927</v>
      </c>
      <c r="C779" s="40" t="s">
        <v>166</v>
      </c>
      <c r="D779" s="40" t="s">
        <v>250</v>
      </c>
      <c r="E779" s="40" t="s">
        <v>176</v>
      </c>
      <c r="F779" s="2">
        <v>902</v>
      </c>
      <c r="G779" s="10">
        <f>G778</f>
        <v>50</v>
      </c>
      <c r="H779" s="10">
        <f>H778</f>
        <v>50</v>
      </c>
    </row>
    <row r="780" spans="1:8" ht="78.75" x14ac:dyDescent="0.25">
      <c r="A780" s="41" t="s">
        <v>1178</v>
      </c>
      <c r="B780" s="7" t="s">
        <v>534</v>
      </c>
      <c r="C780" s="7"/>
      <c r="D780" s="7"/>
      <c r="E780" s="72"/>
      <c r="F780" s="3"/>
      <c r="G780" s="59">
        <f>G781+G788+G795+G802+G809+G816+G823</f>
        <v>700</v>
      </c>
      <c r="H780" s="59">
        <f>H781+H788+H795+H802+H809+H816+H823</f>
        <v>700</v>
      </c>
    </row>
    <row r="781" spans="1:8" ht="31.5" x14ac:dyDescent="0.25">
      <c r="A781" s="23" t="s">
        <v>1099</v>
      </c>
      <c r="B781" s="24" t="s">
        <v>1101</v>
      </c>
      <c r="C781" s="40"/>
      <c r="D781" s="40"/>
      <c r="E781" s="40"/>
      <c r="F781" s="2"/>
      <c r="G781" s="59">
        <f>G782</f>
        <v>700</v>
      </c>
      <c r="H781" s="59">
        <f>H782</f>
        <v>700</v>
      </c>
    </row>
    <row r="782" spans="1:8" ht="15.75" x14ac:dyDescent="0.25">
      <c r="A782" s="29" t="s">
        <v>406</v>
      </c>
      <c r="B782" s="40" t="s">
        <v>1101</v>
      </c>
      <c r="C782" s="40" t="s">
        <v>250</v>
      </c>
      <c r="D782" s="40"/>
      <c r="E782" s="73"/>
      <c r="F782" s="2"/>
      <c r="G782" s="10">
        <f t="shared" ref="G782:H782" si="107">G783</f>
        <v>700</v>
      </c>
      <c r="H782" s="10">
        <f t="shared" si="107"/>
        <v>700</v>
      </c>
    </row>
    <row r="783" spans="1:8" ht="15.75" x14ac:dyDescent="0.25">
      <c r="A783" s="29" t="s">
        <v>533</v>
      </c>
      <c r="B783" s="40" t="s">
        <v>1101</v>
      </c>
      <c r="C783" s="40" t="s">
        <v>250</v>
      </c>
      <c r="D783" s="40" t="s">
        <v>229</v>
      </c>
      <c r="E783" s="73"/>
      <c r="F783" s="2"/>
      <c r="G783" s="10">
        <f>G784</f>
        <v>700</v>
      </c>
      <c r="H783" s="10">
        <f>H784</f>
        <v>700</v>
      </c>
    </row>
    <row r="784" spans="1:8" ht="15.75" x14ac:dyDescent="0.25">
      <c r="A784" s="45" t="s">
        <v>537</v>
      </c>
      <c r="B784" s="20" t="s">
        <v>1102</v>
      </c>
      <c r="C784" s="40" t="s">
        <v>250</v>
      </c>
      <c r="D784" s="40" t="s">
        <v>229</v>
      </c>
      <c r="E784" s="40"/>
      <c r="F784" s="2"/>
      <c r="G784" s="10">
        <f t="shared" ref="G784:H785" si="108">G785</f>
        <v>700</v>
      </c>
      <c r="H784" s="10">
        <f t="shared" si="108"/>
        <v>700</v>
      </c>
    </row>
    <row r="785" spans="1:8" ht="31.5" x14ac:dyDescent="0.25">
      <c r="A785" s="31" t="s">
        <v>147</v>
      </c>
      <c r="B785" s="20" t="s">
        <v>1102</v>
      </c>
      <c r="C785" s="40" t="s">
        <v>250</v>
      </c>
      <c r="D785" s="40" t="s">
        <v>229</v>
      </c>
      <c r="E785" s="40" t="s">
        <v>148</v>
      </c>
      <c r="F785" s="2"/>
      <c r="G785" s="10">
        <f t="shared" si="108"/>
        <v>700</v>
      </c>
      <c r="H785" s="10">
        <f t="shared" si="108"/>
        <v>700</v>
      </c>
    </row>
    <row r="786" spans="1:8" ht="47.25" x14ac:dyDescent="0.25">
      <c r="A786" s="31" t="s">
        <v>149</v>
      </c>
      <c r="B786" s="20" t="s">
        <v>1102</v>
      </c>
      <c r="C786" s="40" t="s">
        <v>250</v>
      </c>
      <c r="D786" s="40" t="s">
        <v>229</v>
      </c>
      <c r="E786" s="40" t="s">
        <v>150</v>
      </c>
      <c r="F786" s="2"/>
      <c r="G786" s="10">
        <f>'пр.5.1.ведом.21-22'!G940</f>
        <v>700</v>
      </c>
      <c r="H786" s="10">
        <f>'пр.5.1.ведом.21-22'!H940</f>
        <v>700</v>
      </c>
    </row>
    <row r="787" spans="1:8" ht="47.25" x14ac:dyDescent="0.25">
      <c r="A787" s="45" t="s">
        <v>640</v>
      </c>
      <c r="B787" s="20" t="s">
        <v>1102</v>
      </c>
      <c r="C787" s="40" t="s">
        <v>250</v>
      </c>
      <c r="D787" s="40" t="s">
        <v>229</v>
      </c>
      <c r="E787" s="40" t="s">
        <v>150</v>
      </c>
      <c r="F787" s="2">
        <v>908</v>
      </c>
      <c r="G787" s="6">
        <f>G786</f>
        <v>700</v>
      </c>
      <c r="H787" s="6">
        <f>H786</f>
        <v>700</v>
      </c>
    </row>
    <row r="788" spans="1:8" ht="31.5" hidden="1" x14ac:dyDescent="0.25">
      <c r="A788" s="34" t="s">
        <v>1103</v>
      </c>
      <c r="B788" s="24" t="s">
        <v>1104</v>
      </c>
      <c r="C788" s="40"/>
      <c r="D788" s="40"/>
      <c r="E788" s="40"/>
      <c r="F788" s="2"/>
      <c r="G788" s="59">
        <f>G789</f>
        <v>0</v>
      </c>
      <c r="H788" s="59">
        <f>H789</f>
        <v>0</v>
      </c>
    </row>
    <row r="789" spans="1:8" ht="15.75" hidden="1" x14ac:dyDescent="0.25">
      <c r="A789" s="29" t="s">
        <v>406</v>
      </c>
      <c r="B789" s="40" t="s">
        <v>1104</v>
      </c>
      <c r="C789" s="40" t="s">
        <v>250</v>
      </c>
      <c r="D789" s="40"/>
      <c r="E789" s="73"/>
      <c r="F789" s="2"/>
      <c r="G789" s="10">
        <f t="shared" ref="G789:H789" si="109">G790</f>
        <v>0</v>
      </c>
      <c r="H789" s="10">
        <f t="shared" si="109"/>
        <v>0</v>
      </c>
    </row>
    <row r="790" spans="1:8" ht="15.75" hidden="1" x14ac:dyDescent="0.25">
      <c r="A790" s="29" t="s">
        <v>533</v>
      </c>
      <c r="B790" s="40" t="s">
        <v>1104</v>
      </c>
      <c r="C790" s="40" t="s">
        <v>250</v>
      </c>
      <c r="D790" s="40" t="s">
        <v>229</v>
      </c>
      <c r="E790" s="73"/>
      <c r="F790" s="2"/>
      <c r="G790" s="10">
        <f>G791</f>
        <v>0</v>
      </c>
      <c r="H790" s="10">
        <f>H791</f>
        <v>0</v>
      </c>
    </row>
    <row r="791" spans="1:8" ht="15.75" hidden="1" x14ac:dyDescent="0.25">
      <c r="A791" s="45" t="s">
        <v>539</v>
      </c>
      <c r="B791" s="20" t="s">
        <v>1107</v>
      </c>
      <c r="C791" s="40" t="s">
        <v>250</v>
      </c>
      <c r="D791" s="40" t="s">
        <v>229</v>
      </c>
      <c r="E791" s="40"/>
      <c r="F791" s="2"/>
      <c r="G791" s="10">
        <f>G792</f>
        <v>0</v>
      </c>
      <c r="H791" s="10">
        <f>H792</f>
        <v>0</v>
      </c>
    </row>
    <row r="792" spans="1:8" ht="31.5" hidden="1" x14ac:dyDescent="0.25">
      <c r="A792" s="31" t="s">
        <v>147</v>
      </c>
      <c r="B792" s="20" t="s">
        <v>1107</v>
      </c>
      <c r="C792" s="40" t="s">
        <v>250</v>
      </c>
      <c r="D792" s="40" t="s">
        <v>229</v>
      </c>
      <c r="E792" s="40" t="s">
        <v>148</v>
      </c>
      <c r="F792" s="2"/>
      <c r="G792" s="10">
        <f t="shared" ref="G792:H792" si="110">G793</f>
        <v>0</v>
      </c>
      <c r="H792" s="10">
        <f t="shared" si="110"/>
        <v>0</v>
      </c>
    </row>
    <row r="793" spans="1:8" ht="47.25" hidden="1" x14ac:dyDescent="0.25">
      <c r="A793" s="31" t="s">
        <v>149</v>
      </c>
      <c r="B793" s="20" t="s">
        <v>1107</v>
      </c>
      <c r="C793" s="40" t="s">
        <v>250</v>
      </c>
      <c r="D793" s="40" t="s">
        <v>229</v>
      </c>
      <c r="E793" s="40" t="s">
        <v>150</v>
      </c>
      <c r="F793" s="2"/>
      <c r="G793" s="10">
        <f>'пр.5.1.ведом.21-22'!G944</f>
        <v>0</v>
      </c>
      <c r="H793" s="10">
        <f>'пр.5.1.ведом.21-22'!H944</f>
        <v>0</v>
      </c>
    </row>
    <row r="794" spans="1:8" ht="47.25" hidden="1" x14ac:dyDescent="0.25">
      <c r="A794" s="45" t="s">
        <v>640</v>
      </c>
      <c r="B794" s="20" t="s">
        <v>1107</v>
      </c>
      <c r="C794" s="40" t="s">
        <v>250</v>
      </c>
      <c r="D794" s="40" t="s">
        <v>229</v>
      </c>
      <c r="E794" s="40" t="s">
        <v>150</v>
      </c>
      <c r="F794" s="2">
        <v>908</v>
      </c>
      <c r="G794" s="6">
        <f>G793</f>
        <v>0</v>
      </c>
      <c r="H794" s="6">
        <f>H793</f>
        <v>0</v>
      </c>
    </row>
    <row r="795" spans="1:8" ht="31.5" hidden="1" x14ac:dyDescent="0.25">
      <c r="A795" s="58" t="s">
        <v>1105</v>
      </c>
      <c r="B795" s="24" t="s">
        <v>1106</v>
      </c>
      <c r="C795" s="40"/>
      <c r="D795" s="40"/>
      <c r="E795" s="40"/>
      <c r="F795" s="2"/>
      <c r="G795" s="59">
        <f>G796</f>
        <v>0</v>
      </c>
      <c r="H795" s="59">
        <f>H796</f>
        <v>0</v>
      </c>
    </row>
    <row r="796" spans="1:8" ht="15.75" hidden="1" x14ac:dyDescent="0.25">
      <c r="A796" s="29" t="s">
        <v>406</v>
      </c>
      <c r="B796" s="40" t="s">
        <v>1106</v>
      </c>
      <c r="C796" s="40" t="s">
        <v>250</v>
      </c>
      <c r="D796" s="40"/>
      <c r="E796" s="73"/>
      <c r="F796" s="2"/>
      <c r="G796" s="10">
        <f t="shared" ref="G796:H796" si="111">G797</f>
        <v>0</v>
      </c>
      <c r="H796" s="10">
        <f t="shared" si="111"/>
        <v>0</v>
      </c>
    </row>
    <row r="797" spans="1:8" ht="15.75" hidden="1" x14ac:dyDescent="0.25">
      <c r="A797" s="29" t="s">
        <v>533</v>
      </c>
      <c r="B797" s="40" t="s">
        <v>1106</v>
      </c>
      <c r="C797" s="40" t="s">
        <v>250</v>
      </c>
      <c r="D797" s="40" t="s">
        <v>229</v>
      </c>
      <c r="E797" s="73"/>
      <c r="F797" s="2"/>
      <c r="G797" s="10">
        <f>G798</f>
        <v>0</v>
      </c>
      <c r="H797" s="10">
        <f>H798</f>
        <v>0</v>
      </c>
    </row>
    <row r="798" spans="1:8" ht="15.75" hidden="1" x14ac:dyDescent="0.25">
      <c r="A798" s="45" t="s">
        <v>541</v>
      </c>
      <c r="B798" s="20" t="s">
        <v>1108</v>
      </c>
      <c r="C798" s="40" t="s">
        <v>250</v>
      </c>
      <c r="D798" s="40" t="s">
        <v>229</v>
      </c>
      <c r="E798" s="40"/>
      <c r="F798" s="2"/>
      <c r="G798" s="10">
        <f>G799</f>
        <v>0</v>
      </c>
      <c r="H798" s="10">
        <f>H799</f>
        <v>0</v>
      </c>
    </row>
    <row r="799" spans="1:8" ht="31.5" hidden="1" x14ac:dyDescent="0.25">
      <c r="A799" s="31" t="s">
        <v>147</v>
      </c>
      <c r="B799" s="20" t="s">
        <v>1108</v>
      </c>
      <c r="C799" s="40" t="s">
        <v>250</v>
      </c>
      <c r="D799" s="40" t="s">
        <v>229</v>
      </c>
      <c r="E799" s="40" t="s">
        <v>148</v>
      </c>
      <c r="F799" s="2"/>
      <c r="G799" s="10">
        <f t="shared" ref="G799:H799" si="112">G800</f>
        <v>0</v>
      </c>
      <c r="H799" s="10">
        <f t="shared" si="112"/>
        <v>0</v>
      </c>
    </row>
    <row r="800" spans="1:8" ht="47.25" hidden="1" x14ac:dyDescent="0.25">
      <c r="A800" s="31" t="s">
        <v>149</v>
      </c>
      <c r="B800" s="20" t="s">
        <v>1108</v>
      </c>
      <c r="C800" s="40" t="s">
        <v>250</v>
      </c>
      <c r="D800" s="40" t="s">
        <v>229</v>
      </c>
      <c r="E800" s="40" t="s">
        <v>150</v>
      </c>
      <c r="F800" s="2"/>
      <c r="G800" s="10">
        <f>'пр.5.1.ведом.21-22'!G948</f>
        <v>0</v>
      </c>
      <c r="H800" s="10">
        <f>'пр.5.1.ведом.21-22'!H948</f>
        <v>0</v>
      </c>
    </row>
    <row r="801" spans="1:8" ht="47.25" hidden="1" x14ac:dyDescent="0.25">
      <c r="A801" s="45" t="s">
        <v>640</v>
      </c>
      <c r="B801" s="20" t="s">
        <v>1108</v>
      </c>
      <c r="C801" s="40" t="s">
        <v>250</v>
      </c>
      <c r="D801" s="40" t="s">
        <v>229</v>
      </c>
      <c r="E801" s="40" t="s">
        <v>150</v>
      </c>
      <c r="F801" s="2">
        <v>908</v>
      </c>
      <c r="G801" s="6">
        <f>G800</f>
        <v>0</v>
      </c>
      <c r="H801" s="6">
        <f>H800</f>
        <v>0</v>
      </c>
    </row>
    <row r="802" spans="1:8" ht="31.5" hidden="1" x14ac:dyDescent="0.25">
      <c r="A802" s="58" t="s">
        <v>1109</v>
      </c>
      <c r="B802" s="24" t="s">
        <v>1110</v>
      </c>
      <c r="C802" s="40"/>
      <c r="D802" s="40"/>
      <c r="E802" s="40"/>
      <c r="F802" s="2"/>
      <c r="G802" s="59">
        <f t="shared" ref="G802:H804" si="113">G803</f>
        <v>0</v>
      </c>
      <c r="H802" s="59">
        <f t="shared" si="113"/>
        <v>0</v>
      </c>
    </row>
    <row r="803" spans="1:8" ht="15.75" hidden="1" x14ac:dyDescent="0.25">
      <c r="A803" s="29" t="s">
        <v>406</v>
      </c>
      <c r="B803" s="40" t="s">
        <v>1110</v>
      </c>
      <c r="C803" s="40" t="s">
        <v>250</v>
      </c>
      <c r="D803" s="40"/>
      <c r="E803" s="73"/>
      <c r="F803" s="2"/>
      <c r="G803" s="10">
        <f t="shared" si="113"/>
        <v>0</v>
      </c>
      <c r="H803" s="10">
        <f t="shared" si="113"/>
        <v>0</v>
      </c>
    </row>
    <row r="804" spans="1:8" ht="15.75" hidden="1" x14ac:dyDescent="0.25">
      <c r="A804" s="29" t="s">
        <v>533</v>
      </c>
      <c r="B804" s="40" t="s">
        <v>1110</v>
      </c>
      <c r="C804" s="40" t="s">
        <v>250</v>
      </c>
      <c r="D804" s="40" t="s">
        <v>229</v>
      </c>
      <c r="E804" s="73"/>
      <c r="F804" s="2"/>
      <c r="G804" s="10">
        <f t="shared" si="113"/>
        <v>0</v>
      </c>
      <c r="H804" s="10">
        <f t="shared" si="113"/>
        <v>0</v>
      </c>
    </row>
    <row r="805" spans="1:8" ht="31.5" hidden="1" x14ac:dyDescent="0.25">
      <c r="A805" s="45" t="s">
        <v>543</v>
      </c>
      <c r="B805" s="20" t="s">
        <v>1111</v>
      </c>
      <c r="C805" s="40" t="s">
        <v>250</v>
      </c>
      <c r="D805" s="40" t="s">
        <v>229</v>
      </c>
      <c r="E805" s="40"/>
      <c r="F805" s="2"/>
      <c r="G805" s="10">
        <f t="shared" ref="G805:H806" si="114">G806</f>
        <v>0</v>
      </c>
      <c r="H805" s="10">
        <f t="shared" si="114"/>
        <v>0</v>
      </c>
    </row>
    <row r="806" spans="1:8" ht="31.5" hidden="1" x14ac:dyDescent="0.25">
      <c r="A806" s="31" t="s">
        <v>147</v>
      </c>
      <c r="B806" s="20" t="s">
        <v>1111</v>
      </c>
      <c r="C806" s="40" t="s">
        <v>250</v>
      </c>
      <c r="D806" s="40" t="s">
        <v>229</v>
      </c>
      <c r="E806" s="40" t="s">
        <v>148</v>
      </c>
      <c r="F806" s="2"/>
      <c r="G806" s="10">
        <f t="shared" si="114"/>
        <v>0</v>
      </c>
      <c r="H806" s="10">
        <f t="shared" si="114"/>
        <v>0</v>
      </c>
    </row>
    <row r="807" spans="1:8" ht="47.25" hidden="1" x14ac:dyDescent="0.25">
      <c r="A807" s="31" t="s">
        <v>149</v>
      </c>
      <c r="B807" s="20" t="s">
        <v>1111</v>
      </c>
      <c r="C807" s="40" t="s">
        <v>250</v>
      </c>
      <c r="D807" s="40" t="s">
        <v>229</v>
      </c>
      <c r="E807" s="40" t="s">
        <v>150</v>
      </c>
      <c r="F807" s="2"/>
      <c r="G807" s="10">
        <f>'пр.5.1.ведом.21-22'!G952</f>
        <v>0</v>
      </c>
      <c r="H807" s="10">
        <f>'пр.5.1.ведом.21-22'!H952</f>
        <v>0</v>
      </c>
    </row>
    <row r="808" spans="1:8" ht="47.25" hidden="1" x14ac:dyDescent="0.25">
      <c r="A808" s="45" t="s">
        <v>640</v>
      </c>
      <c r="B808" s="20" t="s">
        <v>1111</v>
      </c>
      <c r="C808" s="40" t="s">
        <v>250</v>
      </c>
      <c r="D808" s="40" t="s">
        <v>229</v>
      </c>
      <c r="E808" s="40" t="s">
        <v>150</v>
      </c>
      <c r="F808" s="2">
        <v>908</v>
      </c>
      <c r="G808" s="6">
        <f>G807</f>
        <v>0</v>
      </c>
      <c r="H808" s="6">
        <f>H807</f>
        <v>0</v>
      </c>
    </row>
    <row r="809" spans="1:8" ht="31.5" hidden="1" x14ac:dyDescent="0.25">
      <c r="A809" s="34" t="s">
        <v>1172</v>
      </c>
      <c r="B809" s="24" t="s">
        <v>1173</v>
      </c>
      <c r="C809" s="40"/>
      <c r="D809" s="40"/>
      <c r="E809" s="40"/>
      <c r="F809" s="2"/>
      <c r="G809" s="59">
        <f>G810</f>
        <v>0</v>
      </c>
      <c r="H809" s="59">
        <f>H810</f>
        <v>0</v>
      </c>
    </row>
    <row r="810" spans="1:8" ht="15.75" hidden="1" x14ac:dyDescent="0.25">
      <c r="A810" s="29" t="s">
        <v>406</v>
      </c>
      <c r="B810" s="40" t="s">
        <v>534</v>
      </c>
      <c r="C810" s="40" t="s">
        <v>250</v>
      </c>
      <c r="D810" s="40"/>
      <c r="E810" s="73"/>
      <c r="F810" s="2"/>
      <c r="G810" s="10">
        <f t="shared" ref="G810:H810" si="115">G811</f>
        <v>0</v>
      </c>
      <c r="H810" s="10">
        <f t="shared" si="115"/>
        <v>0</v>
      </c>
    </row>
    <row r="811" spans="1:8" ht="15.75" hidden="1" x14ac:dyDescent="0.25">
      <c r="A811" s="29" t="s">
        <v>533</v>
      </c>
      <c r="B811" s="40" t="s">
        <v>534</v>
      </c>
      <c r="C811" s="40" t="s">
        <v>250</v>
      </c>
      <c r="D811" s="40" t="s">
        <v>229</v>
      </c>
      <c r="E811" s="73"/>
      <c r="F811" s="2"/>
      <c r="G811" s="10">
        <f>G812</f>
        <v>0</v>
      </c>
      <c r="H811" s="10">
        <f>H812</f>
        <v>0</v>
      </c>
    </row>
    <row r="812" spans="1:8" ht="15.75" hidden="1" x14ac:dyDescent="0.25">
      <c r="A812" s="45" t="s">
        <v>545</v>
      </c>
      <c r="B812" s="20" t="s">
        <v>1176</v>
      </c>
      <c r="C812" s="40" t="s">
        <v>250</v>
      </c>
      <c r="D812" s="40" t="s">
        <v>229</v>
      </c>
      <c r="E812" s="40"/>
      <c r="F812" s="2"/>
      <c r="G812" s="10">
        <f t="shared" ref="G812:H813" si="116">G813</f>
        <v>0</v>
      </c>
      <c r="H812" s="10">
        <f t="shared" si="116"/>
        <v>0</v>
      </c>
    </row>
    <row r="813" spans="1:8" ht="31.5" hidden="1" x14ac:dyDescent="0.25">
      <c r="A813" s="31" t="s">
        <v>147</v>
      </c>
      <c r="B813" s="20" t="s">
        <v>1176</v>
      </c>
      <c r="C813" s="40" t="s">
        <v>250</v>
      </c>
      <c r="D813" s="40" t="s">
        <v>229</v>
      </c>
      <c r="E813" s="40" t="s">
        <v>148</v>
      </c>
      <c r="F813" s="2"/>
      <c r="G813" s="10">
        <f t="shared" si="116"/>
        <v>0</v>
      </c>
      <c r="H813" s="10">
        <f t="shared" si="116"/>
        <v>0</v>
      </c>
    </row>
    <row r="814" spans="1:8" ht="47.25" hidden="1" x14ac:dyDescent="0.25">
      <c r="A814" s="31" t="s">
        <v>149</v>
      </c>
      <c r="B814" s="20" t="s">
        <v>1176</v>
      </c>
      <c r="C814" s="40" t="s">
        <v>250</v>
      </c>
      <c r="D814" s="40" t="s">
        <v>229</v>
      </c>
      <c r="E814" s="40" t="s">
        <v>150</v>
      </c>
      <c r="F814" s="2"/>
      <c r="G814" s="10">
        <f>'пр.5.1.ведом.21-22'!G956</f>
        <v>0</v>
      </c>
      <c r="H814" s="10">
        <f>'пр.5.1.ведом.21-22'!H956</f>
        <v>0</v>
      </c>
    </row>
    <row r="815" spans="1:8" ht="47.25" hidden="1" x14ac:dyDescent="0.25">
      <c r="A815" s="45" t="s">
        <v>640</v>
      </c>
      <c r="B815" s="20" t="s">
        <v>1176</v>
      </c>
      <c r="C815" s="40" t="s">
        <v>250</v>
      </c>
      <c r="D815" s="40" t="s">
        <v>229</v>
      </c>
      <c r="E815" s="40" t="s">
        <v>150</v>
      </c>
      <c r="F815" s="2">
        <v>908</v>
      </c>
      <c r="G815" s="6">
        <f>G814</f>
        <v>0</v>
      </c>
      <c r="H815" s="6">
        <f>H814</f>
        <v>0</v>
      </c>
    </row>
    <row r="816" spans="1:8" ht="47.25" hidden="1" x14ac:dyDescent="0.25">
      <c r="A816" s="232" t="s">
        <v>1174</v>
      </c>
      <c r="B816" s="24" t="s">
        <v>1175</v>
      </c>
      <c r="C816" s="40"/>
      <c r="D816" s="40"/>
      <c r="E816" s="40"/>
      <c r="F816" s="2"/>
      <c r="G816" s="59">
        <f>G817</f>
        <v>0</v>
      </c>
      <c r="H816" s="59">
        <f>H817</f>
        <v>0</v>
      </c>
    </row>
    <row r="817" spans="1:8" ht="15.75" hidden="1" x14ac:dyDescent="0.25">
      <c r="A817" s="29" t="s">
        <v>406</v>
      </c>
      <c r="B817" s="40" t="s">
        <v>534</v>
      </c>
      <c r="C817" s="40" t="s">
        <v>250</v>
      </c>
      <c r="D817" s="40"/>
      <c r="E817" s="73"/>
      <c r="F817" s="2"/>
      <c r="G817" s="10">
        <f t="shared" ref="G817:H817" si="117">G818</f>
        <v>0</v>
      </c>
      <c r="H817" s="10">
        <f t="shared" si="117"/>
        <v>0</v>
      </c>
    </row>
    <row r="818" spans="1:8" ht="15.75" hidden="1" x14ac:dyDescent="0.25">
      <c r="A818" s="29" t="s">
        <v>533</v>
      </c>
      <c r="B818" s="40" t="s">
        <v>534</v>
      </c>
      <c r="C818" s="40" t="s">
        <v>250</v>
      </c>
      <c r="D818" s="40" t="s">
        <v>229</v>
      </c>
      <c r="E818" s="73"/>
      <c r="F818" s="2"/>
      <c r="G818" s="10">
        <f>G819</f>
        <v>0</v>
      </c>
      <c r="H818" s="10">
        <f>H819</f>
        <v>0</v>
      </c>
    </row>
    <row r="819" spans="1:8" ht="31.5" hidden="1" x14ac:dyDescent="0.25">
      <c r="A819" s="178" t="s">
        <v>547</v>
      </c>
      <c r="B819" s="20" t="s">
        <v>1177</v>
      </c>
      <c r="C819" s="40" t="s">
        <v>250</v>
      </c>
      <c r="D819" s="40" t="s">
        <v>229</v>
      </c>
      <c r="E819" s="40"/>
      <c r="F819" s="2"/>
      <c r="G819" s="10">
        <f t="shared" ref="G819:H820" si="118">G820</f>
        <v>0</v>
      </c>
      <c r="H819" s="10">
        <f t="shared" si="118"/>
        <v>0</v>
      </c>
    </row>
    <row r="820" spans="1:8" ht="31.5" hidden="1" x14ac:dyDescent="0.25">
      <c r="A820" s="31" t="s">
        <v>147</v>
      </c>
      <c r="B820" s="20" t="s">
        <v>1177</v>
      </c>
      <c r="C820" s="40" t="s">
        <v>250</v>
      </c>
      <c r="D820" s="40" t="s">
        <v>229</v>
      </c>
      <c r="E820" s="40" t="s">
        <v>148</v>
      </c>
      <c r="F820" s="2"/>
      <c r="G820" s="10">
        <f t="shared" si="118"/>
        <v>0</v>
      </c>
      <c r="H820" s="10">
        <f t="shared" si="118"/>
        <v>0</v>
      </c>
    </row>
    <row r="821" spans="1:8" ht="47.25" hidden="1" x14ac:dyDescent="0.25">
      <c r="A821" s="31" t="s">
        <v>149</v>
      </c>
      <c r="B821" s="20" t="s">
        <v>1177</v>
      </c>
      <c r="C821" s="40" t="s">
        <v>250</v>
      </c>
      <c r="D821" s="40" t="s">
        <v>229</v>
      </c>
      <c r="E821" s="40" t="s">
        <v>150</v>
      </c>
      <c r="F821" s="2"/>
      <c r="G821" s="10">
        <f>'пр.5.1.ведом.21-22'!G960</f>
        <v>0</v>
      </c>
      <c r="H821" s="10">
        <f>'пр.5.1.ведом.21-22'!H960</f>
        <v>0</v>
      </c>
    </row>
    <row r="822" spans="1:8" ht="47.25" hidden="1" x14ac:dyDescent="0.25">
      <c r="A822" s="45" t="s">
        <v>640</v>
      </c>
      <c r="B822" s="20" t="s">
        <v>1177</v>
      </c>
      <c r="C822" s="40" t="s">
        <v>250</v>
      </c>
      <c r="D822" s="40" t="s">
        <v>229</v>
      </c>
      <c r="E822" s="40" t="s">
        <v>150</v>
      </c>
      <c r="F822" s="2">
        <v>908</v>
      </c>
      <c r="G822" s="6">
        <f>G821</f>
        <v>0</v>
      </c>
      <c r="H822" s="6">
        <f>H821</f>
        <v>0</v>
      </c>
    </row>
    <row r="823" spans="1:8" ht="31.5" hidden="1" x14ac:dyDescent="0.25">
      <c r="A823" s="232" t="s">
        <v>1113</v>
      </c>
      <c r="B823" s="24" t="s">
        <v>1114</v>
      </c>
      <c r="C823" s="40"/>
      <c r="D823" s="40"/>
      <c r="E823" s="40"/>
      <c r="F823" s="2"/>
      <c r="G823" s="59">
        <f t="shared" ref="G823:H825" si="119">G824</f>
        <v>0</v>
      </c>
      <c r="H823" s="59">
        <f t="shared" si="119"/>
        <v>0</v>
      </c>
    </row>
    <row r="824" spans="1:8" ht="15.75" hidden="1" x14ac:dyDescent="0.25">
      <c r="A824" s="29" t="s">
        <v>406</v>
      </c>
      <c r="B824" s="40" t="s">
        <v>534</v>
      </c>
      <c r="C824" s="40" t="s">
        <v>250</v>
      </c>
      <c r="D824" s="40"/>
      <c r="E824" s="73"/>
      <c r="F824" s="2"/>
      <c r="G824" s="10">
        <f t="shared" si="119"/>
        <v>0</v>
      </c>
      <c r="H824" s="10">
        <f t="shared" si="119"/>
        <v>0</v>
      </c>
    </row>
    <row r="825" spans="1:8" ht="15.75" hidden="1" x14ac:dyDescent="0.25">
      <c r="A825" s="29" t="s">
        <v>533</v>
      </c>
      <c r="B825" s="40" t="s">
        <v>534</v>
      </c>
      <c r="C825" s="40" t="s">
        <v>250</v>
      </c>
      <c r="D825" s="40" t="s">
        <v>229</v>
      </c>
      <c r="E825" s="73"/>
      <c r="F825" s="2"/>
      <c r="G825" s="10">
        <f t="shared" si="119"/>
        <v>0</v>
      </c>
      <c r="H825" s="10">
        <f t="shared" si="119"/>
        <v>0</v>
      </c>
    </row>
    <row r="826" spans="1:8" ht="15.75" hidden="1" x14ac:dyDescent="0.25">
      <c r="A826" s="178" t="s">
        <v>549</v>
      </c>
      <c r="B826" s="20" t="s">
        <v>1112</v>
      </c>
      <c r="C826" s="40" t="s">
        <v>250</v>
      </c>
      <c r="D826" s="40" t="s">
        <v>229</v>
      </c>
      <c r="E826" s="40"/>
      <c r="F826" s="2"/>
      <c r="G826" s="10">
        <f t="shared" ref="G826:H827" si="120">G827</f>
        <v>0</v>
      </c>
      <c r="H826" s="10">
        <f t="shared" si="120"/>
        <v>0</v>
      </c>
    </row>
    <row r="827" spans="1:8" ht="31.5" hidden="1" x14ac:dyDescent="0.3">
      <c r="A827" s="25" t="s">
        <v>147</v>
      </c>
      <c r="B827" s="20" t="s">
        <v>1112</v>
      </c>
      <c r="C827" s="40" t="s">
        <v>250</v>
      </c>
      <c r="D827" s="40" t="s">
        <v>229</v>
      </c>
      <c r="E827" s="2">
        <v>200</v>
      </c>
      <c r="F827" s="77"/>
      <c r="G827" s="6">
        <f t="shared" si="120"/>
        <v>0</v>
      </c>
      <c r="H827" s="6">
        <f t="shared" si="120"/>
        <v>0</v>
      </c>
    </row>
    <row r="828" spans="1:8" ht="47.25" hidden="1" x14ac:dyDescent="0.3">
      <c r="A828" s="25" t="s">
        <v>149</v>
      </c>
      <c r="B828" s="20" t="s">
        <v>1112</v>
      </c>
      <c r="C828" s="40" t="s">
        <v>250</v>
      </c>
      <c r="D828" s="40" t="s">
        <v>229</v>
      </c>
      <c r="E828" s="2">
        <v>240</v>
      </c>
      <c r="F828" s="77"/>
      <c r="G828" s="6">
        <f>'пр.5.1.ведом.21-22'!G964</f>
        <v>0</v>
      </c>
      <c r="H828" s="6">
        <f>'пр.5.1.ведом.21-22'!H964</f>
        <v>0</v>
      </c>
    </row>
    <row r="829" spans="1:8" ht="47.25" hidden="1" x14ac:dyDescent="0.25">
      <c r="A829" s="45" t="s">
        <v>640</v>
      </c>
      <c r="B829" s="20" t="s">
        <v>1112</v>
      </c>
      <c r="C829" s="40" t="s">
        <v>250</v>
      </c>
      <c r="D829" s="40" t="s">
        <v>229</v>
      </c>
      <c r="E829" s="2">
        <v>240</v>
      </c>
      <c r="F829" s="2">
        <v>908</v>
      </c>
      <c r="G829" s="6">
        <f>G828</f>
        <v>0</v>
      </c>
      <c r="H829" s="6">
        <f>H828</f>
        <v>0</v>
      </c>
    </row>
    <row r="830" spans="1:8" ht="63" x14ac:dyDescent="0.25">
      <c r="A830" s="23" t="s">
        <v>350</v>
      </c>
      <c r="B830" s="24" t="s">
        <v>351</v>
      </c>
      <c r="C830" s="7"/>
      <c r="D830" s="7"/>
      <c r="E830" s="3"/>
      <c r="F830" s="3"/>
      <c r="G830" s="4">
        <f t="shared" ref="G830:H832" si="121">G831</f>
        <v>175</v>
      </c>
      <c r="H830" s="4">
        <f t="shared" si="121"/>
        <v>175</v>
      </c>
    </row>
    <row r="831" spans="1:8" ht="31.5" x14ac:dyDescent="0.25">
      <c r="A831" s="23" t="s">
        <v>1225</v>
      </c>
      <c r="B831" s="24" t="s">
        <v>1226</v>
      </c>
      <c r="C831" s="7"/>
      <c r="D831" s="7"/>
      <c r="E831" s="3"/>
      <c r="F831" s="3"/>
      <c r="G831" s="4">
        <f t="shared" si="121"/>
        <v>175</v>
      </c>
      <c r="H831" s="4">
        <f t="shared" si="121"/>
        <v>175</v>
      </c>
    </row>
    <row r="832" spans="1:8" ht="15.75" x14ac:dyDescent="0.25">
      <c r="A832" s="29" t="s">
        <v>133</v>
      </c>
      <c r="B832" s="20" t="s">
        <v>1226</v>
      </c>
      <c r="C832" s="40" t="s">
        <v>134</v>
      </c>
      <c r="D832" s="40"/>
      <c r="E832" s="2"/>
      <c r="F832" s="2"/>
      <c r="G832" s="6">
        <f t="shared" si="121"/>
        <v>175</v>
      </c>
      <c r="H832" s="6">
        <f t="shared" si="121"/>
        <v>175</v>
      </c>
    </row>
    <row r="833" spans="1:8" ht="15.75" x14ac:dyDescent="0.25">
      <c r="A833" s="29" t="s">
        <v>155</v>
      </c>
      <c r="B833" s="20" t="s">
        <v>1226</v>
      </c>
      <c r="C833" s="40" t="s">
        <v>134</v>
      </c>
      <c r="D833" s="40" t="s">
        <v>156</v>
      </c>
      <c r="E833" s="2"/>
      <c r="F833" s="2"/>
      <c r="G833" s="6">
        <f>G834+G841+G845+G849+G853+G857+G861</f>
        <v>175</v>
      </c>
      <c r="H833" s="6">
        <f>H834+H841+H845+H849+H853+H857+H861</f>
        <v>175</v>
      </c>
    </row>
    <row r="834" spans="1:8" ht="31.5" x14ac:dyDescent="0.25">
      <c r="A834" s="25" t="s">
        <v>352</v>
      </c>
      <c r="B834" s="20" t="s">
        <v>1227</v>
      </c>
      <c r="C834" s="40" t="s">
        <v>134</v>
      </c>
      <c r="D834" s="40" t="s">
        <v>156</v>
      </c>
      <c r="E834" s="2"/>
      <c r="F834" s="2"/>
      <c r="G834" s="6">
        <f>G835+G838</f>
        <v>120</v>
      </c>
      <c r="H834" s="6">
        <f>H835+H838</f>
        <v>120</v>
      </c>
    </row>
    <row r="835" spans="1:8" ht="31.5" x14ac:dyDescent="0.25">
      <c r="A835" s="25" t="s">
        <v>147</v>
      </c>
      <c r="B835" s="20" t="s">
        <v>1227</v>
      </c>
      <c r="C835" s="40" t="s">
        <v>134</v>
      </c>
      <c r="D835" s="40" t="s">
        <v>156</v>
      </c>
      <c r="E835" s="2">
        <v>200</v>
      </c>
      <c r="F835" s="2"/>
      <c r="G835" s="6">
        <f t="shared" ref="G835:H835" si="122">G836</f>
        <v>50</v>
      </c>
      <c r="H835" s="6">
        <f t="shared" si="122"/>
        <v>50</v>
      </c>
    </row>
    <row r="836" spans="1:8" ht="47.25" x14ac:dyDescent="0.25">
      <c r="A836" s="25" t="s">
        <v>149</v>
      </c>
      <c r="B836" s="20" t="s">
        <v>1227</v>
      </c>
      <c r="C836" s="40" t="s">
        <v>134</v>
      </c>
      <c r="D836" s="40" t="s">
        <v>156</v>
      </c>
      <c r="E836" s="2">
        <v>240</v>
      </c>
      <c r="F836" s="2"/>
      <c r="G836" s="6">
        <f>'пр.5.1.ведом.21-22'!G542</f>
        <v>50</v>
      </c>
      <c r="H836" s="6">
        <f>'пр.5.1.ведом.21-22'!H542</f>
        <v>50</v>
      </c>
    </row>
    <row r="837" spans="1:8" ht="31.5" x14ac:dyDescent="0.25">
      <c r="A837" s="45" t="s">
        <v>419</v>
      </c>
      <c r="B837" s="20" t="s">
        <v>1227</v>
      </c>
      <c r="C837" s="40" t="s">
        <v>134</v>
      </c>
      <c r="D837" s="40" t="s">
        <v>156</v>
      </c>
      <c r="E837" s="2">
        <v>240</v>
      </c>
      <c r="F837" s="2">
        <v>906</v>
      </c>
      <c r="G837" s="6">
        <f>G836</f>
        <v>50</v>
      </c>
      <c r="H837" s="6">
        <f>H836</f>
        <v>50</v>
      </c>
    </row>
    <row r="838" spans="1:8" ht="31.5" x14ac:dyDescent="0.25">
      <c r="A838" s="25" t="s">
        <v>147</v>
      </c>
      <c r="B838" s="20" t="s">
        <v>1227</v>
      </c>
      <c r="C838" s="40" t="s">
        <v>134</v>
      </c>
      <c r="D838" s="40" t="s">
        <v>156</v>
      </c>
      <c r="E838" s="2">
        <v>200</v>
      </c>
      <c r="F838" s="2"/>
      <c r="G838" s="6">
        <f t="shared" ref="G838:H838" si="123">G839</f>
        <v>70</v>
      </c>
      <c r="H838" s="6">
        <f t="shared" si="123"/>
        <v>70</v>
      </c>
    </row>
    <row r="839" spans="1:8" ht="47.25" x14ac:dyDescent="0.25">
      <c r="A839" s="25" t="s">
        <v>149</v>
      </c>
      <c r="B839" s="20" t="s">
        <v>1227</v>
      </c>
      <c r="C839" s="40" t="s">
        <v>134</v>
      </c>
      <c r="D839" s="40" t="s">
        <v>156</v>
      </c>
      <c r="E839" s="2">
        <v>240</v>
      </c>
      <c r="F839" s="2"/>
      <c r="G839" s="6">
        <f>'пр.5.1.ведом.21-22'!G780</f>
        <v>70</v>
      </c>
      <c r="H839" s="6">
        <f>'пр.5.1.ведом.21-22'!H780</f>
        <v>70</v>
      </c>
    </row>
    <row r="840" spans="1:8" ht="47.25" x14ac:dyDescent="0.25">
      <c r="A840" s="45" t="s">
        <v>496</v>
      </c>
      <c r="B840" s="20" t="s">
        <v>1227</v>
      </c>
      <c r="C840" s="40" t="s">
        <v>134</v>
      </c>
      <c r="D840" s="40" t="s">
        <v>156</v>
      </c>
      <c r="E840" s="2">
        <v>240</v>
      </c>
      <c r="F840" s="2">
        <v>907</v>
      </c>
      <c r="G840" s="6">
        <f>G839</f>
        <v>70</v>
      </c>
      <c r="H840" s="6">
        <f>H839</f>
        <v>70</v>
      </c>
    </row>
    <row r="841" spans="1:8" ht="31.5" hidden="1" x14ac:dyDescent="0.25">
      <c r="A841" s="25" t="s">
        <v>352</v>
      </c>
      <c r="B841" s="20" t="s">
        <v>1232</v>
      </c>
      <c r="C841" s="40" t="s">
        <v>134</v>
      </c>
      <c r="D841" s="40" t="s">
        <v>156</v>
      </c>
      <c r="E841" s="2"/>
      <c r="F841" s="2"/>
      <c r="G841" s="6">
        <f>G842</f>
        <v>0</v>
      </c>
      <c r="H841" s="6">
        <f>H842</f>
        <v>0</v>
      </c>
    </row>
    <row r="842" spans="1:8" ht="31.5" hidden="1" x14ac:dyDescent="0.25">
      <c r="A842" s="25" t="s">
        <v>147</v>
      </c>
      <c r="B842" s="20" t="s">
        <v>1232</v>
      </c>
      <c r="C842" s="40" t="s">
        <v>134</v>
      </c>
      <c r="D842" s="40" t="s">
        <v>156</v>
      </c>
      <c r="E842" s="2">
        <v>200</v>
      </c>
      <c r="F842" s="2"/>
      <c r="G842" s="6">
        <f t="shared" ref="G842:H842" si="124">G843</f>
        <v>0</v>
      </c>
      <c r="H842" s="6">
        <f t="shared" si="124"/>
        <v>0</v>
      </c>
    </row>
    <row r="843" spans="1:8" ht="47.25" hidden="1" x14ac:dyDescent="0.25">
      <c r="A843" s="25" t="s">
        <v>149</v>
      </c>
      <c r="B843" s="20" t="s">
        <v>1232</v>
      </c>
      <c r="C843" s="40" t="s">
        <v>134</v>
      </c>
      <c r="D843" s="40" t="s">
        <v>156</v>
      </c>
      <c r="E843" s="2">
        <v>240</v>
      </c>
      <c r="F843" s="2"/>
      <c r="G843" s="6">
        <v>0</v>
      </c>
      <c r="H843" s="6">
        <v>0</v>
      </c>
    </row>
    <row r="844" spans="1:8" ht="31.5" hidden="1" x14ac:dyDescent="0.25">
      <c r="A844" s="45" t="s">
        <v>419</v>
      </c>
      <c r="B844" s="20" t="s">
        <v>1232</v>
      </c>
      <c r="C844" s="40" t="s">
        <v>134</v>
      </c>
      <c r="D844" s="40" t="s">
        <v>156</v>
      </c>
      <c r="E844" s="2">
        <v>240</v>
      </c>
      <c r="F844" s="2">
        <v>906</v>
      </c>
      <c r="G844" s="6">
        <f>G843</f>
        <v>0</v>
      </c>
      <c r="H844" s="6">
        <f>H843</f>
        <v>0</v>
      </c>
    </row>
    <row r="845" spans="1:8" ht="31.5" x14ac:dyDescent="0.25">
      <c r="A845" s="25" t="s">
        <v>354</v>
      </c>
      <c r="B845" s="20" t="s">
        <v>1228</v>
      </c>
      <c r="C845" s="40" t="s">
        <v>134</v>
      </c>
      <c r="D845" s="40" t="s">
        <v>156</v>
      </c>
      <c r="E845" s="2"/>
      <c r="F845" s="2"/>
      <c r="G845" s="6">
        <f t="shared" ref="G845:H846" si="125">G846</f>
        <v>25</v>
      </c>
      <c r="H845" s="6">
        <f t="shared" si="125"/>
        <v>25</v>
      </c>
    </row>
    <row r="846" spans="1:8" ht="31.5" x14ac:dyDescent="0.25">
      <c r="A846" s="25" t="s">
        <v>147</v>
      </c>
      <c r="B846" s="20" t="s">
        <v>1228</v>
      </c>
      <c r="C846" s="40" t="s">
        <v>134</v>
      </c>
      <c r="D846" s="40" t="s">
        <v>156</v>
      </c>
      <c r="E846" s="2">
        <v>200</v>
      </c>
      <c r="F846" s="2"/>
      <c r="G846" s="6">
        <f t="shared" si="125"/>
        <v>25</v>
      </c>
      <c r="H846" s="6">
        <f t="shared" si="125"/>
        <v>25</v>
      </c>
    </row>
    <row r="847" spans="1:8" ht="47.25" x14ac:dyDescent="0.25">
      <c r="A847" s="25" t="s">
        <v>149</v>
      </c>
      <c r="B847" s="20" t="s">
        <v>1228</v>
      </c>
      <c r="C847" s="40" t="s">
        <v>134</v>
      </c>
      <c r="D847" s="40" t="s">
        <v>156</v>
      </c>
      <c r="E847" s="2">
        <v>240</v>
      </c>
      <c r="F847" s="2"/>
      <c r="G847" s="6">
        <f>'пр.5.1.ведом.21-22'!G233</f>
        <v>25</v>
      </c>
      <c r="H847" s="6">
        <f>'пр.5.1.ведом.21-22'!H233</f>
        <v>25</v>
      </c>
    </row>
    <row r="848" spans="1:8" ht="47.25" x14ac:dyDescent="0.25">
      <c r="A848" s="45" t="s">
        <v>277</v>
      </c>
      <c r="B848" s="20" t="s">
        <v>1228</v>
      </c>
      <c r="C848" s="40" t="s">
        <v>134</v>
      </c>
      <c r="D848" s="40" t="s">
        <v>156</v>
      </c>
      <c r="E848" s="2">
        <v>240</v>
      </c>
      <c r="F848" s="2">
        <v>903</v>
      </c>
      <c r="G848" s="6">
        <f>G847</f>
        <v>25</v>
      </c>
      <c r="H848" s="6">
        <f>H847</f>
        <v>25</v>
      </c>
    </row>
    <row r="849" spans="1:8" ht="63" x14ac:dyDescent="0.25">
      <c r="A849" s="31" t="s">
        <v>794</v>
      </c>
      <c r="B849" s="20" t="s">
        <v>1229</v>
      </c>
      <c r="C849" s="40" t="s">
        <v>134</v>
      </c>
      <c r="D849" s="40" t="s">
        <v>156</v>
      </c>
      <c r="E849" s="2"/>
      <c r="F849" s="2"/>
      <c r="G849" s="6">
        <f t="shared" ref="G849:H850" si="126">G850</f>
        <v>10</v>
      </c>
      <c r="H849" s="6">
        <f t="shared" si="126"/>
        <v>10</v>
      </c>
    </row>
    <row r="850" spans="1:8" ht="31.5" x14ac:dyDescent="0.25">
      <c r="A850" s="25" t="s">
        <v>147</v>
      </c>
      <c r="B850" s="20" t="s">
        <v>1229</v>
      </c>
      <c r="C850" s="20" t="s">
        <v>134</v>
      </c>
      <c r="D850" s="20" t="s">
        <v>156</v>
      </c>
      <c r="E850" s="20" t="s">
        <v>148</v>
      </c>
      <c r="F850" s="182"/>
      <c r="G850" s="6">
        <f t="shared" si="126"/>
        <v>10</v>
      </c>
      <c r="H850" s="6">
        <f t="shared" si="126"/>
        <v>10</v>
      </c>
    </row>
    <row r="851" spans="1:8" ht="47.25" x14ac:dyDescent="0.25">
      <c r="A851" s="25" t="s">
        <v>149</v>
      </c>
      <c r="B851" s="20" t="s">
        <v>1229</v>
      </c>
      <c r="C851" s="20" t="s">
        <v>134</v>
      </c>
      <c r="D851" s="20" t="s">
        <v>156</v>
      </c>
      <c r="E851" s="20" t="s">
        <v>150</v>
      </c>
      <c r="F851" s="182"/>
      <c r="G851" s="6">
        <f>'пр.5.1.ведом.21-22'!G236</f>
        <v>10</v>
      </c>
      <c r="H851" s="6">
        <f>'пр.5.1.ведом.21-22'!H236</f>
        <v>10</v>
      </c>
    </row>
    <row r="852" spans="1:8" ht="47.25" x14ac:dyDescent="0.25">
      <c r="A852" s="45" t="s">
        <v>277</v>
      </c>
      <c r="B852" s="20" t="s">
        <v>1229</v>
      </c>
      <c r="C852" s="40" t="s">
        <v>134</v>
      </c>
      <c r="D852" s="40" t="s">
        <v>156</v>
      </c>
      <c r="E852" s="2">
        <v>240</v>
      </c>
      <c r="F852" s="2">
        <v>903</v>
      </c>
      <c r="G852" s="6">
        <f>G851</f>
        <v>10</v>
      </c>
      <c r="H852" s="6">
        <f>H851</f>
        <v>10</v>
      </c>
    </row>
    <row r="853" spans="1:8" ht="47.25" hidden="1" x14ac:dyDescent="0.25">
      <c r="A853" s="25" t="s">
        <v>696</v>
      </c>
      <c r="B853" s="20" t="s">
        <v>1230</v>
      </c>
      <c r="C853" s="40" t="s">
        <v>134</v>
      </c>
      <c r="D853" s="40" t="s">
        <v>156</v>
      </c>
      <c r="E853" s="2"/>
      <c r="F853" s="182"/>
      <c r="G853" s="6">
        <f t="shared" ref="G853:H854" si="127">G854</f>
        <v>0</v>
      </c>
      <c r="H853" s="6">
        <f t="shared" si="127"/>
        <v>0</v>
      </c>
    </row>
    <row r="854" spans="1:8" ht="31.5" hidden="1" x14ac:dyDescent="0.25">
      <c r="A854" s="25" t="s">
        <v>147</v>
      </c>
      <c r="B854" s="20" t="s">
        <v>1230</v>
      </c>
      <c r="C854" s="40" t="s">
        <v>134</v>
      </c>
      <c r="D854" s="40" t="s">
        <v>156</v>
      </c>
      <c r="E854" s="2">
        <v>200</v>
      </c>
      <c r="F854" s="182"/>
      <c r="G854" s="6">
        <f t="shared" si="127"/>
        <v>0</v>
      </c>
      <c r="H854" s="6">
        <f t="shared" si="127"/>
        <v>0</v>
      </c>
    </row>
    <row r="855" spans="1:8" ht="47.25" hidden="1" x14ac:dyDescent="0.25">
      <c r="A855" s="25" t="s">
        <v>149</v>
      </c>
      <c r="B855" s="20" t="s">
        <v>1230</v>
      </c>
      <c r="C855" s="40" t="s">
        <v>134</v>
      </c>
      <c r="D855" s="40" t="s">
        <v>156</v>
      </c>
      <c r="E855" s="2">
        <v>240</v>
      </c>
      <c r="F855" s="182"/>
      <c r="G855" s="6">
        <f>'пр.5.1.ведом.21-22'!G239</f>
        <v>0</v>
      </c>
      <c r="H855" s="6">
        <f>'пр.5.1.ведом.21-22'!H239</f>
        <v>0</v>
      </c>
    </row>
    <row r="856" spans="1:8" ht="47.25" hidden="1" x14ac:dyDescent="0.25">
      <c r="A856" s="45" t="s">
        <v>277</v>
      </c>
      <c r="B856" s="20" t="s">
        <v>1230</v>
      </c>
      <c r="C856" s="40" t="s">
        <v>134</v>
      </c>
      <c r="D856" s="40" t="s">
        <v>156</v>
      </c>
      <c r="E856" s="2">
        <v>240</v>
      </c>
      <c r="F856" s="2">
        <v>903</v>
      </c>
      <c r="G856" s="6">
        <f>G855</f>
        <v>0</v>
      </c>
      <c r="H856" s="6">
        <f>H855</f>
        <v>0</v>
      </c>
    </row>
    <row r="857" spans="1:8" ht="31.5" hidden="1" x14ac:dyDescent="0.25">
      <c r="A857" s="31" t="s">
        <v>796</v>
      </c>
      <c r="B857" s="20" t="s">
        <v>1260</v>
      </c>
      <c r="C857" s="40" t="s">
        <v>134</v>
      </c>
      <c r="D857" s="40" t="s">
        <v>156</v>
      </c>
      <c r="E857" s="2"/>
      <c r="F857" s="2"/>
      <c r="G857" s="6">
        <f t="shared" ref="G857:H858" si="128">G858</f>
        <v>0</v>
      </c>
      <c r="H857" s="6">
        <f t="shared" si="128"/>
        <v>0</v>
      </c>
    </row>
    <row r="858" spans="1:8" ht="31.5" hidden="1" x14ac:dyDescent="0.25">
      <c r="A858" s="25" t="s">
        <v>147</v>
      </c>
      <c r="B858" s="20" t="s">
        <v>1260</v>
      </c>
      <c r="C858" s="40" t="s">
        <v>134</v>
      </c>
      <c r="D858" s="40" t="s">
        <v>156</v>
      </c>
      <c r="E858" s="2">
        <v>200</v>
      </c>
      <c r="F858" s="2"/>
      <c r="G858" s="6">
        <f t="shared" si="128"/>
        <v>0</v>
      </c>
      <c r="H858" s="6">
        <f t="shared" si="128"/>
        <v>0</v>
      </c>
    </row>
    <row r="859" spans="1:8" ht="47.25" hidden="1" x14ac:dyDescent="0.25">
      <c r="A859" s="25" t="s">
        <v>149</v>
      </c>
      <c r="B859" s="20" t="s">
        <v>1260</v>
      </c>
      <c r="C859" s="40" t="s">
        <v>134</v>
      </c>
      <c r="D859" s="40" t="s">
        <v>156</v>
      </c>
      <c r="E859" s="2">
        <v>240</v>
      </c>
      <c r="F859" s="2"/>
      <c r="G859" s="6">
        <f>'пр.5.1.ведом.21-22'!G545</f>
        <v>0</v>
      </c>
      <c r="H859" s="6">
        <f>'пр.5.1.ведом.21-22'!H545</f>
        <v>0</v>
      </c>
    </row>
    <row r="860" spans="1:8" ht="31.5" hidden="1" x14ac:dyDescent="0.25">
      <c r="A860" s="45" t="s">
        <v>419</v>
      </c>
      <c r="B860" s="20" t="s">
        <v>1260</v>
      </c>
      <c r="C860" s="40" t="s">
        <v>134</v>
      </c>
      <c r="D860" s="40" t="s">
        <v>156</v>
      </c>
      <c r="E860" s="2">
        <v>240</v>
      </c>
      <c r="F860" s="2">
        <v>906</v>
      </c>
      <c r="G860" s="6">
        <f>G859</f>
        <v>0</v>
      </c>
      <c r="H860" s="6">
        <f>H859</f>
        <v>0</v>
      </c>
    </row>
    <row r="861" spans="1:8" ht="31.5" x14ac:dyDescent="0.25">
      <c r="A861" s="31" t="s">
        <v>795</v>
      </c>
      <c r="B861" s="20" t="s">
        <v>1231</v>
      </c>
      <c r="C861" s="20" t="s">
        <v>134</v>
      </c>
      <c r="D861" s="20" t="s">
        <v>156</v>
      </c>
      <c r="E861" s="20"/>
      <c r="F861" s="182"/>
      <c r="G861" s="6">
        <f t="shared" ref="G861:H862" si="129">G862</f>
        <v>20</v>
      </c>
      <c r="H861" s="6">
        <f t="shared" si="129"/>
        <v>20</v>
      </c>
    </row>
    <row r="862" spans="1:8" ht="31.5" x14ac:dyDescent="0.25">
      <c r="A862" s="25" t="s">
        <v>147</v>
      </c>
      <c r="B862" s="20" t="s">
        <v>1231</v>
      </c>
      <c r="C862" s="20" t="s">
        <v>134</v>
      </c>
      <c r="D862" s="20" t="s">
        <v>156</v>
      </c>
      <c r="E862" s="20" t="s">
        <v>148</v>
      </c>
      <c r="F862" s="182"/>
      <c r="G862" s="6">
        <f t="shared" si="129"/>
        <v>20</v>
      </c>
      <c r="H862" s="6">
        <f t="shared" si="129"/>
        <v>20</v>
      </c>
    </row>
    <row r="863" spans="1:8" ht="47.25" x14ac:dyDescent="0.25">
      <c r="A863" s="25" t="s">
        <v>149</v>
      </c>
      <c r="B863" s="20" t="s">
        <v>1231</v>
      </c>
      <c r="C863" s="20" t="s">
        <v>134</v>
      </c>
      <c r="D863" s="20" t="s">
        <v>156</v>
      </c>
      <c r="E863" s="20" t="s">
        <v>150</v>
      </c>
      <c r="F863" s="182"/>
      <c r="G863" s="6">
        <f>'пр.5.1.ведом.21-22'!G242</f>
        <v>20</v>
      </c>
      <c r="H863" s="6">
        <f>'пр.5.1.ведом.21-22'!H242</f>
        <v>20</v>
      </c>
    </row>
    <row r="864" spans="1:8" ht="47.25" x14ac:dyDescent="0.25">
      <c r="A864" s="45" t="s">
        <v>277</v>
      </c>
      <c r="B864" s="20" t="s">
        <v>1231</v>
      </c>
      <c r="C864" s="20" t="s">
        <v>134</v>
      </c>
      <c r="D864" s="20" t="s">
        <v>156</v>
      </c>
      <c r="E864" s="20" t="s">
        <v>150</v>
      </c>
      <c r="F864" s="2">
        <v>903</v>
      </c>
      <c r="G864" s="6">
        <f>G863</f>
        <v>20</v>
      </c>
      <c r="H864" s="6">
        <f>H863</f>
        <v>20</v>
      </c>
    </row>
    <row r="865" spans="1:8" ht="78.75" x14ac:dyDescent="0.25">
      <c r="A865" s="41" t="s">
        <v>1179</v>
      </c>
      <c r="B865" s="24" t="s">
        <v>728</v>
      </c>
      <c r="C865" s="7"/>
      <c r="D865" s="7"/>
      <c r="E865" s="3"/>
      <c r="F865" s="3"/>
      <c r="G865" s="4">
        <f>G866+G877+G916</f>
        <v>3147.6</v>
      </c>
      <c r="H865" s="4">
        <f>H866+H877+H916</f>
        <v>3056.9</v>
      </c>
    </row>
    <row r="866" spans="1:8" ht="63" x14ac:dyDescent="0.25">
      <c r="A866" s="223" t="s">
        <v>892</v>
      </c>
      <c r="B866" s="24" t="s">
        <v>898</v>
      </c>
      <c r="C866" s="7"/>
      <c r="D866" s="7"/>
      <c r="E866" s="3"/>
      <c r="F866" s="3"/>
      <c r="G866" s="4">
        <f>G867</f>
        <v>30</v>
      </c>
      <c r="H866" s="4">
        <f>H867</f>
        <v>30</v>
      </c>
    </row>
    <row r="867" spans="1:8" ht="15.75" x14ac:dyDescent="0.25">
      <c r="A867" s="29" t="s">
        <v>133</v>
      </c>
      <c r="B867" s="20" t="s">
        <v>898</v>
      </c>
      <c r="C867" s="40" t="s">
        <v>134</v>
      </c>
      <c r="D867" s="40"/>
      <c r="E867" s="2"/>
      <c r="F867" s="2"/>
      <c r="G867" s="6">
        <f t="shared" ref="G867:H867" si="130">G868</f>
        <v>30</v>
      </c>
      <c r="H867" s="6">
        <f t="shared" si="130"/>
        <v>30</v>
      </c>
    </row>
    <row r="868" spans="1:8" ht="15.75" x14ac:dyDescent="0.25">
      <c r="A868" s="29" t="s">
        <v>155</v>
      </c>
      <c r="B868" s="20" t="s">
        <v>898</v>
      </c>
      <c r="C868" s="40" t="s">
        <v>134</v>
      </c>
      <c r="D868" s="40" t="s">
        <v>156</v>
      </c>
      <c r="E868" s="2"/>
      <c r="F868" s="2"/>
      <c r="G868" s="6">
        <f>G869+G873</f>
        <v>30</v>
      </c>
      <c r="H868" s="6">
        <f>H869+H873</f>
        <v>30</v>
      </c>
    </row>
    <row r="869" spans="1:8" ht="47.25" x14ac:dyDescent="0.25">
      <c r="A869" s="99" t="s">
        <v>799</v>
      </c>
      <c r="B869" s="20" t="s">
        <v>893</v>
      </c>
      <c r="C869" s="40" t="s">
        <v>134</v>
      </c>
      <c r="D869" s="40" t="s">
        <v>156</v>
      </c>
      <c r="E869" s="2"/>
      <c r="F869" s="2"/>
      <c r="G869" s="6">
        <f t="shared" ref="G869:H870" si="131">G870</f>
        <v>25</v>
      </c>
      <c r="H869" s="6">
        <f t="shared" si="131"/>
        <v>25</v>
      </c>
    </row>
    <row r="870" spans="1:8" ht="31.5" x14ac:dyDescent="0.25">
      <c r="A870" s="25" t="s">
        <v>147</v>
      </c>
      <c r="B870" s="20" t="s">
        <v>893</v>
      </c>
      <c r="C870" s="40" t="s">
        <v>134</v>
      </c>
      <c r="D870" s="40" t="s">
        <v>156</v>
      </c>
      <c r="E870" s="2">
        <v>200</v>
      </c>
      <c r="F870" s="2"/>
      <c r="G870" s="6">
        <f t="shared" si="131"/>
        <v>25</v>
      </c>
      <c r="H870" s="6">
        <f t="shared" si="131"/>
        <v>25</v>
      </c>
    </row>
    <row r="871" spans="1:8" ht="47.25" x14ac:dyDescent="0.25">
      <c r="A871" s="25" t="s">
        <v>149</v>
      </c>
      <c r="B871" s="20" t="s">
        <v>893</v>
      </c>
      <c r="C871" s="40" t="s">
        <v>134</v>
      </c>
      <c r="D871" s="40" t="s">
        <v>156</v>
      </c>
      <c r="E871" s="2">
        <v>240</v>
      </c>
      <c r="F871" s="2"/>
      <c r="G871" s="6">
        <f>'пр.5.1.ведом.21-22'!G119</f>
        <v>25</v>
      </c>
      <c r="H871" s="6">
        <f>'пр.5.1.ведом.21-22'!H119</f>
        <v>25</v>
      </c>
    </row>
    <row r="872" spans="1:8" ht="31.5" x14ac:dyDescent="0.25">
      <c r="A872" s="29" t="s">
        <v>164</v>
      </c>
      <c r="B872" s="20" t="s">
        <v>893</v>
      </c>
      <c r="C872" s="40" t="s">
        <v>134</v>
      </c>
      <c r="D872" s="40" t="s">
        <v>156</v>
      </c>
      <c r="E872" s="2">
        <v>240</v>
      </c>
      <c r="F872" s="2">
        <v>902</v>
      </c>
      <c r="G872" s="6">
        <f>G871</f>
        <v>25</v>
      </c>
      <c r="H872" s="6">
        <f>H871</f>
        <v>25</v>
      </c>
    </row>
    <row r="873" spans="1:8" ht="47.25" x14ac:dyDescent="0.25">
      <c r="A873" s="99" t="s">
        <v>799</v>
      </c>
      <c r="B873" s="20" t="s">
        <v>893</v>
      </c>
      <c r="C873" s="40" t="s">
        <v>134</v>
      </c>
      <c r="D873" s="40" t="s">
        <v>156</v>
      </c>
      <c r="E873" s="2"/>
      <c r="F873" s="2"/>
      <c r="G873" s="6">
        <f>G874</f>
        <v>5</v>
      </c>
      <c r="H873" s="6">
        <f>H874</f>
        <v>5</v>
      </c>
    </row>
    <row r="874" spans="1:8" ht="31.5" x14ac:dyDescent="0.25">
      <c r="A874" s="25" t="s">
        <v>147</v>
      </c>
      <c r="B874" s="20" t="s">
        <v>893</v>
      </c>
      <c r="C874" s="40" t="s">
        <v>134</v>
      </c>
      <c r="D874" s="40" t="s">
        <v>156</v>
      </c>
      <c r="E874" s="2">
        <v>200</v>
      </c>
      <c r="F874" s="2"/>
      <c r="G874" s="6">
        <f>G875</f>
        <v>5</v>
      </c>
      <c r="H874" s="6">
        <f>H875</f>
        <v>5</v>
      </c>
    </row>
    <row r="875" spans="1:8" ht="47.25" x14ac:dyDescent="0.25">
      <c r="A875" s="25" t="s">
        <v>149</v>
      </c>
      <c r="B875" s="20" t="s">
        <v>893</v>
      </c>
      <c r="C875" s="40" t="s">
        <v>134</v>
      </c>
      <c r="D875" s="40" t="s">
        <v>156</v>
      </c>
      <c r="E875" s="2">
        <v>240</v>
      </c>
      <c r="F875" s="2"/>
      <c r="G875" s="6">
        <f>'пр.5.1.ведом.21-22'!G247</f>
        <v>5</v>
      </c>
      <c r="H875" s="6">
        <f>'пр.5.1.ведом.21-22'!H247</f>
        <v>5</v>
      </c>
    </row>
    <row r="876" spans="1:8" ht="47.25" x14ac:dyDescent="0.25">
      <c r="A876" s="25" t="s">
        <v>277</v>
      </c>
      <c r="B876" s="20" t="s">
        <v>893</v>
      </c>
      <c r="C876" s="40" t="s">
        <v>134</v>
      </c>
      <c r="D876" s="40" t="s">
        <v>156</v>
      </c>
      <c r="E876" s="2">
        <v>240</v>
      </c>
      <c r="F876" s="2">
        <v>903</v>
      </c>
      <c r="G876" s="6">
        <f>G875</f>
        <v>5</v>
      </c>
      <c r="H876" s="6">
        <f>H875</f>
        <v>5</v>
      </c>
    </row>
    <row r="877" spans="1:8" ht="63" x14ac:dyDescent="0.25">
      <c r="A877" s="41" t="s">
        <v>949</v>
      </c>
      <c r="B877" s="24" t="s">
        <v>947</v>
      </c>
      <c r="C877" s="40"/>
      <c r="D877" s="40"/>
      <c r="E877" s="2"/>
      <c r="F877" s="2"/>
      <c r="G877" s="4">
        <f>G878+G898+G904+G910</f>
        <v>3102.6</v>
      </c>
      <c r="H877" s="4">
        <f>H878+H898+H904+H910</f>
        <v>3011.9</v>
      </c>
    </row>
    <row r="878" spans="1:8" ht="15.75" x14ac:dyDescent="0.25">
      <c r="A878" s="29" t="s">
        <v>279</v>
      </c>
      <c r="B878" s="20" t="s">
        <v>947</v>
      </c>
      <c r="C878" s="40" t="s">
        <v>280</v>
      </c>
      <c r="D878" s="40"/>
      <c r="E878" s="2"/>
      <c r="F878" s="2"/>
      <c r="G878" s="6">
        <f>G879+G885+G889</f>
        <v>1709.3</v>
      </c>
      <c r="H878" s="6">
        <f>H879+H885+H889</f>
        <v>1618.6</v>
      </c>
    </row>
    <row r="879" spans="1:8" ht="15.75" x14ac:dyDescent="0.25">
      <c r="A879" s="29" t="s">
        <v>420</v>
      </c>
      <c r="B879" s="20" t="s">
        <v>947</v>
      </c>
      <c r="C879" s="40" t="s">
        <v>280</v>
      </c>
      <c r="D879" s="40" t="s">
        <v>134</v>
      </c>
      <c r="E879" s="2"/>
      <c r="F879" s="2"/>
      <c r="G879" s="6">
        <f t="shared" ref="G879:H881" si="132">G880</f>
        <v>464.3</v>
      </c>
      <c r="H879" s="6">
        <f t="shared" si="132"/>
        <v>464.3</v>
      </c>
    </row>
    <row r="880" spans="1:8" ht="47.25" x14ac:dyDescent="0.25">
      <c r="A880" s="45" t="s">
        <v>803</v>
      </c>
      <c r="B880" s="20" t="s">
        <v>1027</v>
      </c>
      <c r="C880" s="40" t="s">
        <v>280</v>
      </c>
      <c r="D880" s="40" t="s">
        <v>134</v>
      </c>
      <c r="E880" s="2"/>
      <c r="F880" s="2"/>
      <c r="G880" s="6">
        <f t="shared" si="132"/>
        <v>464.3</v>
      </c>
      <c r="H880" s="6">
        <f t="shared" si="132"/>
        <v>464.3</v>
      </c>
    </row>
    <row r="881" spans="1:8" ht="47.25" x14ac:dyDescent="0.25">
      <c r="A881" s="29" t="s">
        <v>288</v>
      </c>
      <c r="B881" s="20" t="s">
        <v>1027</v>
      </c>
      <c r="C881" s="40" t="s">
        <v>280</v>
      </c>
      <c r="D881" s="40" t="s">
        <v>134</v>
      </c>
      <c r="E881" s="2">
        <v>600</v>
      </c>
      <c r="F881" s="2"/>
      <c r="G881" s="6">
        <f t="shared" si="132"/>
        <v>464.3</v>
      </c>
      <c r="H881" s="6">
        <f t="shared" si="132"/>
        <v>464.3</v>
      </c>
    </row>
    <row r="882" spans="1:8" ht="15.75" x14ac:dyDescent="0.25">
      <c r="A882" s="192" t="s">
        <v>290</v>
      </c>
      <c r="B882" s="20" t="s">
        <v>1027</v>
      </c>
      <c r="C882" s="40" t="s">
        <v>280</v>
      </c>
      <c r="D882" s="40" t="s">
        <v>134</v>
      </c>
      <c r="E882" s="2">
        <v>610</v>
      </c>
      <c r="F882" s="2"/>
      <c r="G882" s="6">
        <f>'пр.5.1.ведом.21-22'!G617</f>
        <v>464.3</v>
      </c>
      <c r="H882" s="6">
        <f>'пр.5.1.ведом.21-22'!H617</f>
        <v>464.3</v>
      </c>
    </row>
    <row r="883" spans="1:8" ht="31.5" x14ac:dyDescent="0.25">
      <c r="A883" s="45" t="s">
        <v>419</v>
      </c>
      <c r="B883" s="20" t="s">
        <v>1027</v>
      </c>
      <c r="C883" s="40" t="s">
        <v>280</v>
      </c>
      <c r="D883" s="40" t="s">
        <v>134</v>
      </c>
      <c r="E883" s="2">
        <v>610</v>
      </c>
      <c r="F883" s="2">
        <v>906</v>
      </c>
      <c r="G883" s="6">
        <f>G882</f>
        <v>464.3</v>
      </c>
      <c r="H883" s="6">
        <f>H882</f>
        <v>464.3</v>
      </c>
    </row>
    <row r="884" spans="1:8" ht="15.75" x14ac:dyDescent="0.25">
      <c r="A884" s="45" t="s">
        <v>441</v>
      </c>
      <c r="B884" s="20" t="s">
        <v>947</v>
      </c>
      <c r="C884" s="40" t="s">
        <v>280</v>
      </c>
      <c r="D884" s="40" t="s">
        <v>229</v>
      </c>
      <c r="E884" s="2"/>
      <c r="F884" s="2"/>
      <c r="G884" s="6">
        <f t="shared" ref="G884:H886" si="133">G885</f>
        <v>723.3</v>
      </c>
      <c r="H884" s="6">
        <f t="shared" si="133"/>
        <v>723.3</v>
      </c>
    </row>
    <row r="885" spans="1:8" ht="47.25" x14ac:dyDescent="0.25">
      <c r="A885" s="45" t="s">
        <v>803</v>
      </c>
      <c r="B885" s="20" t="s">
        <v>1027</v>
      </c>
      <c r="C885" s="40" t="s">
        <v>280</v>
      </c>
      <c r="D885" s="40" t="s">
        <v>229</v>
      </c>
      <c r="E885" s="2"/>
      <c r="F885" s="2"/>
      <c r="G885" s="6">
        <f t="shared" si="133"/>
        <v>723.3</v>
      </c>
      <c r="H885" s="6">
        <f t="shared" si="133"/>
        <v>723.3</v>
      </c>
    </row>
    <row r="886" spans="1:8" ht="47.25" x14ac:dyDescent="0.25">
      <c r="A886" s="29" t="s">
        <v>288</v>
      </c>
      <c r="B886" s="20" t="s">
        <v>1027</v>
      </c>
      <c r="C886" s="40" t="s">
        <v>280</v>
      </c>
      <c r="D886" s="40" t="s">
        <v>229</v>
      </c>
      <c r="E886" s="2">
        <v>600</v>
      </c>
      <c r="F886" s="2"/>
      <c r="G886" s="6">
        <f t="shared" si="133"/>
        <v>723.3</v>
      </c>
      <c r="H886" s="6">
        <f t="shared" si="133"/>
        <v>723.3</v>
      </c>
    </row>
    <row r="887" spans="1:8" ht="15.75" x14ac:dyDescent="0.25">
      <c r="A887" s="192" t="s">
        <v>290</v>
      </c>
      <c r="B887" s="20" t="s">
        <v>1027</v>
      </c>
      <c r="C887" s="40" t="s">
        <v>280</v>
      </c>
      <c r="D887" s="40" t="s">
        <v>229</v>
      </c>
      <c r="E887" s="2">
        <v>610</v>
      </c>
      <c r="F887" s="2"/>
      <c r="G887" s="6">
        <f>'пр.5.1.ведом.21-22'!G701</f>
        <v>723.3</v>
      </c>
      <c r="H887" s="6">
        <f>'пр.5.1.ведом.21-22'!H701</f>
        <v>723.3</v>
      </c>
    </row>
    <row r="888" spans="1:8" ht="31.5" x14ac:dyDescent="0.25">
      <c r="A888" s="45" t="s">
        <v>419</v>
      </c>
      <c r="B888" s="20" t="s">
        <v>1027</v>
      </c>
      <c r="C888" s="40" t="s">
        <v>280</v>
      </c>
      <c r="D888" s="40" t="s">
        <v>229</v>
      </c>
      <c r="E888" s="2">
        <v>610</v>
      </c>
      <c r="F888" s="2">
        <v>906</v>
      </c>
      <c r="G888" s="6">
        <f>G887</f>
        <v>723.3</v>
      </c>
      <c r="H888" s="6">
        <f>H887</f>
        <v>723.3</v>
      </c>
    </row>
    <row r="889" spans="1:8" ht="15.75" x14ac:dyDescent="0.25">
      <c r="A889" s="45" t="s">
        <v>281</v>
      </c>
      <c r="B889" s="20" t="s">
        <v>947</v>
      </c>
      <c r="C889" s="40" t="s">
        <v>280</v>
      </c>
      <c r="D889" s="40" t="s">
        <v>231</v>
      </c>
      <c r="E889" s="2"/>
      <c r="F889" s="2"/>
      <c r="G889" s="6">
        <f>G890+G894</f>
        <v>521.70000000000005</v>
      </c>
      <c r="H889" s="6">
        <f>H890+H894</f>
        <v>431</v>
      </c>
    </row>
    <row r="890" spans="1:8" ht="47.25" x14ac:dyDescent="0.25">
      <c r="A890" s="45" t="s">
        <v>803</v>
      </c>
      <c r="B890" s="20" t="s">
        <v>1027</v>
      </c>
      <c r="C890" s="40" t="s">
        <v>280</v>
      </c>
      <c r="D890" s="40" t="s">
        <v>231</v>
      </c>
      <c r="E890" s="2"/>
      <c r="F890" s="2"/>
      <c r="G890" s="6">
        <f>G891</f>
        <v>300.7</v>
      </c>
      <c r="H890" s="6">
        <f>H891</f>
        <v>300.7</v>
      </c>
    </row>
    <row r="891" spans="1:8" ht="47.25" x14ac:dyDescent="0.25">
      <c r="A891" s="29" t="s">
        <v>288</v>
      </c>
      <c r="B891" s="20" t="s">
        <v>1027</v>
      </c>
      <c r="C891" s="40" t="s">
        <v>280</v>
      </c>
      <c r="D891" s="40" t="s">
        <v>231</v>
      </c>
      <c r="E891" s="2">
        <v>600</v>
      </c>
      <c r="F891" s="2"/>
      <c r="G891" s="6">
        <f>G892</f>
        <v>300.7</v>
      </c>
      <c r="H891" s="6">
        <f>H892</f>
        <v>300.7</v>
      </c>
    </row>
    <row r="892" spans="1:8" ht="15.75" x14ac:dyDescent="0.25">
      <c r="A892" s="192" t="s">
        <v>290</v>
      </c>
      <c r="B892" s="20" t="s">
        <v>1027</v>
      </c>
      <c r="C892" s="40" t="s">
        <v>280</v>
      </c>
      <c r="D892" s="40" t="s">
        <v>231</v>
      </c>
      <c r="E892" s="2">
        <v>610</v>
      </c>
      <c r="F892" s="2"/>
      <c r="G892" s="6">
        <f>'пр.5.1.ведом.21-22'!G735</f>
        <v>300.7</v>
      </c>
      <c r="H892" s="6">
        <f>'пр.5.1.ведом.21-22'!H735</f>
        <v>300.7</v>
      </c>
    </row>
    <row r="893" spans="1:8" ht="31.5" x14ac:dyDescent="0.25">
      <c r="A893" s="45" t="s">
        <v>419</v>
      </c>
      <c r="B893" s="20" t="s">
        <v>1027</v>
      </c>
      <c r="C893" s="40" t="s">
        <v>280</v>
      </c>
      <c r="D893" s="40" t="s">
        <v>231</v>
      </c>
      <c r="E893" s="2">
        <v>610</v>
      </c>
      <c r="F893" s="2">
        <v>906</v>
      </c>
      <c r="G893" s="6">
        <f>G892</f>
        <v>300.7</v>
      </c>
      <c r="H893" s="6">
        <f>H892</f>
        <v>300.7</v>
      </c>
    </row>
    <row r="894" spans="1:8" ht="47.25" x14ac:dyDescent="0.25">
      <c r="A894" s="99" t="s">
        <v>1157</v>
      </c>
      <c r="B894" s="20" t="s">
        <v>948</v>
      </c>
      <c r="C894" s="40" t="s">
        <v>280</v>
      </c>
      <c r="D894" s="40" t="s">
        <v>231</v>
      </c>
      <c r="E894" s="2"/>
      <c r="F894" s="2"/>
      <c r="G894" s="6">
        <f>G895</f>
        <v>221</v>
      </c>
      <c r="H894" s="6">
        <f>H895</f>
        <v>130.30000000000001</v>
      </c>
    </row>
    <row r="895" spans="1:8" ht="31.5" x14ac:dyDescent="0.25">
      <c r="A895" s="25" t="s">
        <v>147</v>
      </c>
      <c r="B895" s="20" t="s">
        <v>948</v>
      </c>
      <c r="C895" s="40" t="s">
        <v>280</v>
      </c>
      <c r="D895" s="40" t="s">
        <v>231</v>
      </c>
      <c r="E895" s="2">
        <v>200</v>
      </c>
      <c r="F895" s="2"/>
      <c r="G895" s="6">
        <f>G896</f>
        <v>221</v>
      </c>
      <c r="H895" s="6">
        <f>H896</f>
        <v>130.30000000000001</v>
      </c>
    </row>
    <row r="896" spans="1:8" ht="47.25" x14ac:dyDescent="0.25">
      <c r="A896" s="25" t="s">
        <v>149</v>
      </c>
      <c r="B896" s="20" t="s">
        <v>948</v>
      </c>
      <c r="C896" s="40" t="s">
        <v>280</v>
      </c>
      <c r="D896" s="40" t="s">
        <v>231</v>
      </c>
      <c r="E896" s="2">
        <v>240</v>
      </c>
      <c r="F896" s="2"/>
      <c r="G896" s="6">
        <f>'пр.5.1.ведом.21-22'!G320</f>
        <v>221</v>
      </c>
      <c r="H896" s="6">
        <f>'Пр.4 ведом.20'!H317</f>
        <v>130.30000000000001</v>
      </c>
    </row>
    <row r="897" spans="1:8" ht="47.25" x14ac:dyDescent="0.25">
      <c r="A897" s="25" t="s">
        <v>277</v>
      </c>
      <c r="B897" s="20" t="s">
        <v>948</v>
      </c>
      <c r="C897" s="40" t="s">
        <v>280</v>
      </c>
      <c r="D897" s="40" t="s">
        <v>231</v>
      </c>
      <c r="E897" s="2">
        <v>240</v>
      </c>
      <c r="F897" s="2">
        <v>903</v>
      </c>
      <c r="G897" s="6">
        <f>'пр.5.1.ведом.21-22'!G320</f>
        <v>221</v>
      </c>
      <c r="H897" s="6">
        <f>'пр.5.1.ведом.21-22'!H320</f>
        <v>221</v>
      </c>
    </row>
    <row r="898" spans="1:8" ht="15.75" x14ac:dyDescent="0.25">
      <c r="A898" s="25" t="s">
        <v>314</v>
      </c>
      <c r="B898" s="20" t="s">
        <v>947</v>
      </c>
      <c r="C898" s="40" t="s">
        <v>315</v>
      </c>
      <c r="D898" s="40"/>
      <c r="E898" s="2"/>
      <c r="F898" s="2"/>
      <c r="G898" s="6">
        <f t="shared" ref="G898:H901" si="134">G899</f>
        <v>793.2</v>
      </c>
      <c r="H898" s="6">
        <f t="shared" si="134"/>
        <v>793.2</v>
      </c>
    </row>
    <row r="899" spans="1:8" ht="15.75" x14ac:dyDescent="0.25">
      <c r="A899" s="25" t="s">
        <v>316</v>
      </c>
      <c r="B899" s="20" t="s">
        <v>947</v>
      </c>
      <c r="C899" s="40" t="s">
        <v>315</v>
      </c>
      <c r="D899" s="40" t="s">
        <v>134</v>
      </c>
      <c r="E899" s="2"/>
      <c r="F899" s="2"/>
      <c r="G899" s="6">
        <f t="shared" si="134"/>
        <v>793.2</v>
      </c>
      <c r="H899" s="6">
        <f t="shared" si="134"/>
        <v>793.2</v>
      </c>
    </row>
    <row r="900" spans="1:8" ht="32.25" customHeight="1" x14ac:dyDescent="0.25">
      <c r="A900" s="45" t="s">
        <v>801</v>
      </c>
      <c r="B900" s="20" t="s">
        <v>948</v>
      </c>
      <c r="C900" s="40" t="s">
        <v>315</v>
      </c>
      <c r="D900" s="40" t="s">
        <v>134</v>
      </c>
      <c r="E900" s="2"/>
      <c r="F900" s="2"/>
      <c r="G900" s="6">
        <f t="shared" si="134"/>
        <v>793.2</v>
      </c>
      <c r="H900" s="6">
        <f t="shared" si="134"/>
        <v>793.2</v>
      </c>
    </row>
    <row r="901" spans="1:8" ht="31.5" x14ac:dyDescent="0.25">
      <c r="A901" s="25" t="s">
        <v>147</v>
      </c>
      <c r="B901" s="20" t="s">
        <v>948</v>
      </c>
      <c r="C901" s="40" t="s">
        <v>315</v>
      </c>
      <c r="D901" s="40" t="s">
        <v>134</v>
      </c>
      <c r="E901" s="2">
        <v>200</v>
      </c>
      <c r="F901" s="2"/>
      <c r="G901" s="6">
        <f t="shared" si="134"/>
        <v>793.2</v>
      </c>
      <c r="H901" s="6">
        <f t="shared" si="134"/>
        <v>793.2</v>
      </c>
    </row>
    <row r="902" spans="1:8" ht="47.25" x14ac:dyDescent="0.25">
      <c r="A902" s="25" t="s">
        <v>149</v>
      </c>
      <c r="B902" s="20" t="s">
        <v>948</v>
      </c>
      <c r="C902" s="40" t="s">
        <v>315</v>
      </c>
      <c r="D902" s="40" t="s">
        <v>134</v>
      </c>
      <c r="E902" s="2">
        <v>240</v>
      </c>
      <c r="F902" s="2"/>
      <c r="G902" s="6">
        <f>'пр.5.1.ведом.21-22'!G414</f>
        <v>793.2</v>
      </c>
      <c r="H902" s="6">
        <f>'пр.5.1.ведом.21-22'!H414</f>
        <v>793.2</v>
      </c>
    </row>
    <row r="903" spans="1:8" ht="47.25" x14ac:dyDescent="0.25">
      <c r="A903" s="25" t="s">
        <v>277</v>
      </c>
      <c r="B903" s="20" t="s">
        <v>948</v>
      </c>
      <c r="C903" s="40" t="s">
        <v>315</v>
      </c>
      <c r="D903" s="40" t="s">
        <v>134</v>
      </c>
      <c r="E903" s="2">
        <v>240</v>
      </c>
      <c r="F903" s="2">
        <v>903</v>
      </c>
      <c r="G903" s="6">
        <f>G902</f>
        <v>793.2</v>
      </c>
      <c r="H903" s="6">
        <f>H902</f>
        <v>793.2</v>
      </c>
    </row>
    <row r="904" spans="1:8" ht="15.75" x14ac:dyDescent="0.25">
      <c r="A904" s="25" t="s">
        <v>506</v>
      </c>
      <c r="B904" s="20" t="s">
        <v>947</v>
      </c>
      <c r="C904" s="40" t="s">
        <v>507</v>
      </c>
      <c r="D904" s="40"/>
      <c r="E904" s="2"/>
      <c r="F904" s="2"/>
      <c r="G904" s="6">
        <f t="shared" ref="G904:H907" si="135">G905</f>
        <v>540.1</v>
      </c>
      <c r="H904" s="6">
        <f t="shared" si="135"/>
        <v>540.1</v>
      </c>
    </row>
    <row r="905" spans="1:8" ht="15.75" x14ac:dyDescent="0.25">
      <c r="A905" s="25" t="s">
        <v>1271</v>
      </c>
      <c r="B905" s="20" t="s">
        <v>947</v>
      </c>
      <c r="C905" s="40" t="s">
        <v>507</v>
      </c>
      <c r="D905" s="40" t="s">
        <v>134</v>
      </c>
      <c r="E905" s="2"/>
      <c r="F905" s="2"/>
      <c r="G905" s="6">
        <f t="shared" si="135"/>
        <v>540.1</v>
      </c>
      <c r="H905" s="6">
        <f t="shared" si="135"/>
        <v>540.1</v>
      </c>
    </row>
    <row r="906" spans="1:8" ht="47.25" x14ac:dyDescent="0.25">
      <c r="A906" s="45" t="s">
        <v>803</v>
      </c>
      <c r="B906" s="20" t="s">
        <v>1027</v>
      </c>
      <c r="C906" s="40" t="s">
        <v>507</v>
      </c>
      <c r="D906" s="40" t="s">
        <v>134</v>
      </c>
      <c r="E906" s="2"/>
      <c r="F906" s="2"/>
      <c r="G906" s="6">
        <f t="shared" si="135"/>
        <v>540.1</v>
      </c>
      <c r="H906" s="6">
        <f t="shared" si="135"/>
        <v>540.1</v>
      </c>
    </row>
    <row r="907" spans="1:8" ht="47.25" x14ac:dyDescent="0.25">
      <c r="A907" s="29" t="s">
        <v>288</v>
      </c>
      <c r="B907" s="20" t="s">
        <v>1027</v>
      </c>
      <c r="C907" s="40" t="s">
        <v>507</v>
      </c>
      <c r="D907" s="40" t="s">
        <v>134</v>
      </c>
      <c r="E907" s="2">
        <v>600</v>
      </c>
      <c r="F907" s="2"/>
      <c r="G907" s="6">
        <f t="shared" si="135"/>
        <v>540.1</v>
      </c>
      <c r="H907" s="6">
        <f t="shared" si="135"/>
        <v>540.1</v>
      </c>
    </row>
    <row r="908" spans="1:8" ht="15.75" x14ac:dyDescent="0.25">
      <c r="A908" s="192" t="s">
        <v>290</v>
      </c>
      <c r="B908" s="20" t="s">
        <v>1027</v>
      </c>
      <c r="C908" s="40" t="s">
        <v>507</v>
      </c>
      <c r="D908" s="40" t="s">
        <v>134</v>
      </c>
      <c r="E908" s="2">
        <v>610</v>
      </c>
      <c r="F908" s="2"/>
      <c r="G908" s="6">
        <f>'пр.5.1.ведом.21-22'!G820</f>
        <v>540.1</v>
      </c>
      <c r="H908" s="6">
        <f>'пр.5.1.ведом.21-22'!H820</f>
        <v>540.1</v>
      </c>
    </row>
    <row r="909" spans="1:8" ht="47.25" x14ac:dyDescent="0.25">
      <c r="A909" s="45" t="s">
        <v>496</v>
      </c>
      <c r="B909" s="20" t="s">
        <v>1027</v>
      </c>
      <c r="C909" s="40" t="s">
        <v>507</v>
      </c>
      <c r="D909" s="40" t="s">
        <v>134</v>
      </c>
      <c r="E909" s="2">
        <v>610</v>
      </c>
      <c r="F909" s="2">
        <v>907</v>
      </c>
      <c r="G909" s="6">
        <f>G908</f>
        <v>540.1</v>
      </c>
      <c r="H909" s="6">
        <f>H908</f>
        <v>540.1</v>
      </c>
    </row>
    <row r="910" spans="1:8" ht="15.75" x14ac:dyDescent="0.25">
      <c r="A910" s="29" t="s">
        <v>598</v>
      </c>
      <c r="B910" s="20" t="s">
        <v>947</v>
      </c>
      <c r="C910" s="40" t="s">
        <v>254</v>
      </c>
      <c r="D910" s="40"/>
      <c r="E910" s="2"/>
      <c r="F910" s="2"/>
      <c r="G910" s="6">
        <f t="shared" ref="G910:H913" si="136">G911</f>
        <v>60</v>
      </c>
      <c r="H910" s="6">
        <f t="shared" si="136"/>
        <v>60</v>
      </c>
    </row>
    <row r="911" spans="1:8" ht="15.75" x14ac:dyDescent="0.25">
      <c r="A911" s="29" t="s">
        <v>599</v>
      </c>
      <c r="B911" s="20" t="s">
        <v>947</v>
      </c>
      <c r="C911" s="40" t="s">
        <v>254</v>
      </c>
      <c r="D911" s="40" t="s">
        <v>229</v>
      </c>
      <c r="E911" s="2"/>
      <c r="F911" s="2"/>
      <c r="G911" s="6">
        <f t="shared" si="136"/>
        <v>60</v>
      </c>
      <c r="H911" s="6">
        <f t="shared" si="136"/>
        <v>60</v>
      </c>
    </row>
    <row r="912" spans="1:8" ht="47.25" x14ac:dyDescent="0.25">
      <c r="A912" s="45" t="s">
        <v>801</v>
      </c>
      <c r="B912" s="20" t="s">
        <v>948</v>
      </c>
      <c r="C912" s="40" t="s">
        <v>254</v>
      </c>
      <c r="D912" s="40" t="s">
        <v>229</v>
      </c>
      <c r="E912" s="2"/>
      <c r="F912" s="2"/>
      <c r="G912" s="6">
        <f t="shared" si="136"/>
        <v>60</v>
      </c>
      <c r="H912" s="6">
        <f t="shared" si="136"/>
        <v>60</v>
      </c>
    </row>
    <row r="913" spans="1:8" ht="31.5" x14ac:dyDescent="0.25">
      <c r="A913" s="25" t="s">
        <v>147</v>
      </c>
      <c r="B913" s="20" t="s">
        <v>948</v>
      </c>
      <c r="C913" s="40" t="s">
        <v>254</v>
      </c>
      <c r="D913" s="40" t="s">
        <v>229</v>
      </c>
      <c r="E913" s="2">
        <v>200</v>
      </c>
      <c r="F913" s="2"/>
      <c r="G913" s="6">
        <f t="shared" si="136"/>
        <v>60</v>
      </c>
      <c r="H913" s="6">
        <f t="shared" si="136"/>
        <v>60</v>
      </c>
    </row>
    <row r="914" spans="1:8" ht="47.25" x14ac:dyDescent="0.25">
      <c r="A914" s="25" t="s">
        <v>149</v>
      </c>
      <c r="B914" s="20" t="s">
        <v>948</v>
      </c>
      <c r="C914" s="40" t="s">
        <v>254</v>
      </c>
      <c r="D914" s="40" t="s">
        <v>229</v>
      </c>
      <c r="E914" s="2">
        <v>240</v>
      </c>
      <c r="F914" s="2"/>
      <c r="G914" s="6">
        <f>'пр.5.1.ведом.21-22'!G491</f>
        <v>60</v>
      </c>
      <c r="H914" s="6">
        <f>'пр.5.1.ведом.21-22'!H491</f>
        <v>60</v>
      </c>
    </row>
    <row r="915" spans="1:8" ht="47.25" x14ac:dyDescent="0.25">
      <c r="A915" s="25" t="s">
        <v>277</v>
      </c>
      <c r="B915" s="20" t="s">
        <v>948</v>
      </c>
      <c r="C915" s="40" t="s">
        <v>254</v>
      </c>
      <c r="D915" s="40" t="s">
        <v>229</v>
      </c>
      <c r="E915" s="2">
        <v>240</v>
      </c>
      <c r="F915" s="2">
        <v>903</v>
      </c>
      <c r="G915" s="6">
        <f>G910</f>
        <v>60</v>
      </c>
      <c r="H915" s="6">
        <f>H910</f>
        <v>60</v>
      </c>
    </row>
    <row r="916" spans="1:8" ht="47.25" x14ac:dyDescent="0.25">
      <c r="A916" s="224" t="s">
        <v>1188</v>
      </c>
      <c r="B916" s="24" t="s">
        <v>899</v>
      </c>
      <c r="C916" s="7"/>
      <c r="D916" s="7"/>
      <c r="E916" s="3"/>
      <c r="F916" s="3"/>
      <c r="G916" s="4">
        <f t="shared" ref="G916:H918" si="137">G917</f>
        <v>15</v>
      </c>
      <c r="H916" s="4">
        <f t="shared" si="137"/>
        <v>15</v>
      </c>
    </row>
    <row r="917" spans="1:8" ht="15.75" x14ac:dyDescent="0.25">
      <c r="A917" s="237" t="s">
        <v>133</v>
      </c>
      <c r="B917" s="20" t="s">
        <v>899</v>
      </c>
      <c r="C917" s="40" t="s">
        <v>134</v>
      </c>
      <c r="D917" s="40"/>
      <c r="E917" s="2"/>
      <c r="F917" s="2"/>
      <c r="G917" s="6">
        <f t="shared" si="137"/>
        <v>15</v>
      </c>
      <c r="H917" s="6">
        <f t="shared" si="137"/>
        <v>15</v>
      </c>
    </row>
    <row r="918" spans="1:8" ht="15.75" x14ac:dyDescent="0.25">
      <c r="A918" s="237" t="s">
        <v>155</v>
      </c>
      <c r="B918" s="20" t="s">
        <v>899</v>
      </c>
      <c r="C918" s="40" t="s">
        <v>134</v>
      </c>
      <c r="D918" s="40" t="s">
        <v>156</v>
      </c>
      <c r="E918" s="2"/>
      <c r="F918" s="2"/>
      <c r="G918" s="6">
        <f t="shared" si="137"/>
        <v>15</v>
      </c>
      <c r="H918" s="6">
        <f t="shared" si="137"/>
        <v>15</v>
      </c>
    </row>
    <row r="919" spans="1:8" ht="56.25" customHeight="1" x14ac:dyDescent="0.25">
      <c r="A919" s="276" t="s">
        <v>1158</v>
      </c>
      <c r="B919" s="20" t="s">
        <v>894</v>
      </c>
      <c r="C919" s="40" t="s">
        <v>134</v>
      </c>
      <c r="D919" s="40" t="s">
        <v>156</v>
      </c>
      <c r="E919" s="2"/>
      <c r="F919" s="2"/>
      <c r="G919" s="6">
        <f t="shared" ref="G919:H920" si="138">G920</f>
        <v>15</v>
      </c>
      <c r="H919" s="6">
        <f t="shared" si="138"/>
        <v>15</v>
      </c>
    </row>
    <row r="920" spans="1:8" ht="31.5" x14ac:dyDescent="0.25">
      <c r="A920" s="25" t="s">
        <v>147</v>
      </c>
      <c r="B920" s="20" t="s">
        <v>894</v>
      </c>
      <c r="C920" s="40" t="s">
        <v>134</v>
      </c>
      <c r="D920" s="40" t="s">
        <v>156</v>
      </c>
      <c r="E920" s="2">
        <v>200</v>
      </c>
      <c r="F920" s="2"/>
      <c r="G920" s="6">
        <f t="shared" si="138"/>
        <v>15</v>
      </c>
      <c r="H920" s="6">
        <f t="shared" si="138"/>
        <v>15</v>
      </c>
    </row>
    <row r="921" spans="1:8" ht="47.25" x14ac:dyDescent="0.25">
      <c r="A921" s="25" t="s">
        <v>149</v>
      </c>
      <c r="B921" s="20" t="s">
        <v>894</v>
      </c>
      <c r="C921" s="40" t="s">
        <v>134</v>
      </c>
      <c r="D921" s="40" t="s">
        <v>156</v>
      </c>
      <c r="E921" s="2">
        <v>240</v>
      </c>
      <c r="F921" s="2"/>
      <c r="G921" s="6">
        <f>'пр.5.1.ведом.21-22'!G123</f>
        <v>15</v>
      </c>
      <c r="H921" s="6">
        <f>'пр.5.1.ведом.21-22'!H123</f>
        <v>15</v>
      </c>
    </row>
    <row r="922" spans="1:8" ht="31.5" x14ac:dyDescent="0.25">
      <c r="A922" s="29" t="s">
        <v>164</v>
      </c>
      <c r="B922" s="20" t="s">
        <v>894</v>
      </c>
      <c r="C922" s="40" t="s">
        <v>134</v>
      </c>
      <c r="D922" s="40" t="s">
        <v>156</v>
      </c>
      <c r="E922" s="2">
        <v>240</v>
      </c>
      <c r="F922" s="2">
        <v>902</v>
      </c>
      <c r="G922" s="6">
        <f>G921</f>
        <v>15</v>
      </c>
      <c r="H922" s="6">
        <f>H921</f>
        <v>15</v>
      </c>
    </row>
    <row r="923" spans="1:8" ht="78.75" x14ac:dyDescent="0.25">
      <c r="A923" s="23" t="s">
        <v>822</v>
      </c>
      <c r="B923" s="24" t="s">
        <v>734</v>
      </c>
      <c r="C923" s="7"/>
      <c r="D923" s="7"/>
      <c r="E923" s="3"/>
      <c r="F923" s="3"/>
      <c r="G923" s="4">
        <f>G924</f>
        <v>500</v>
      </c>
      <c r="H923" s="4">
        <f>H924</f>
        <v>500</v>
      </c>
    </row>
    <row r="924" spans="1:8" ht="31.5" x14ac:dyDescent="0.25">
      <c r="A924" s="23" t="s">
        <v>1245</v>
      </c>
      <c r="B924" s="24" t="s">
        <v>1288</v>
      </c>
      <c r="C924" s="7"/>
      <c r="D924" s="7"/>
      <c r="E924" s="3"/>
      <c r="F924" s="3"/>
      <c r="G924" s="4">
        <f>G925</f>
        <v>500</v>
      </c>
      <c r="H924" s="4">
        <f>H925</f>
        <v>500</v>
      </c>
    </row>
    <row r="925" spans="1:8" ht="15.75" x14ac:dyDescent="0.25">
      <c r="A925" s="25" t="s">
        <v>406</v>
      </c>
      <c r="B925" s="20" t="s">
        <v>881</v>
      </c>
      <c r="C925" s="40" t="s">
        <v>250</v>
      </c>
      <c r="D925" s="40"/>
      <c r="E925" s="2"/>
      <c r="F925" s="2"/>
      <c r="G925" s="6">
        <f t="shared" ref="G925:H928" si="139">G926</f>
        <v>500</v>
      </c>
      <c r="H925" s="6">
        <f t="shared" si="139"/>
        <v>500</v>
      </c>
    </row>
    <row r="926" spans="1:8" ht="15.75" x14ac:dyDescent="0.25">
      <c r="A926" s="25" t="s">
        <v>557</v>
      </c>
      <c r="B926" s="20" t="s">
        <v>881</v>
      </c>
      <c r="C926" s="40" t="s">
        <v>250</v>
      </c>
      <c r="D926" s="40" t="s">
        <v>231</v>
      </c>
      <c r="E926" s="2"/>
      <c r="F926" s="2"/>
      <c r="G926" s="6">
        <f t="shared" si="139"/>
        <v>500</v>
      </c>
      <c r="H926" s="6">
        <f t="shared" si="139"/>
        <v>500</v>
      </c>
    </row>
    <row r="927" spans="1:8" ht="63" x14ac:dyDescent="0.25">
      <c r="A927" s="80" t="s">
        <v>710</v>
      </c>
      <c r="B927" s="20" t="s">
        <v>881</v>
      </c>
      <c r="C927" s="40" t="s">
        <v>250</v>
      </c>
      <c r="D927" s="40" t="s">
        <v>231</v>
      </c>
      <c r="E927" s="2"/>
      <c r="F927" s="2"/>
      <c r="G927" s="6">
        <f t="shared" si="139"/>
        <v>500</v>
      </c>
      <c r="H927" s="6">
        <f t="shared" si="139"/>
        <v>500</v>
      </c>
    </row>
    <row r="928" spans="1:8" ht="31.5" x14ac:dyDescent="0.25">
      <c r="A928" s="25" t="s">
        <v>147</v>
      </c>
      <c r="B928" s="20" t="s">
        <v>881</v>
      </c>
      <c r="C928" s="40" t="s">
        <v>250</v>
      </c>
      <c r="D928" s="40" t="s">
        <v>231</v>
      </c>
      <c r="E928" s="2">
        <v>200</v>
      </c>
      <c r="F928" s="2"/>
      <c r="G928" s="6">
        <f t="shared" si="139"/>
        <v>500</v>
      </c>
      <c r="H928" s="6">
        <f t="shared" si="139"/>
        <v>500</v>
      </c>
    </row>
    <row r="929" spans="1:8" ht="47.25" x14ac:dyDescent="0.25">
      <c r="A929" s="25" t="s">
        <v>149</v>
      </c>
      <c r="B929" s="20" t="s">
        <v>881</v>
      </c>
      <c r="C929" s="40" t="s">
        <v>250</v>
      </c>
      <c r="D929" s="40" t="s">
        <v>231</v>
      </c>
      <c r="E929" s="2">
        <v>240</v>
      </c>
      <c r="F929" s="2"/>
      <c r="G929" s="6">
        <f>'пр.5.1.ведом.21-22'!G1018</f>
        <v>500</v>
      </c>
      <c r="H929" s="6">
        <f>'пр.5.1.ведом.21-22'!H1018</f>
        <v>500</v>
      </c>
    </row>
    <row r="930" spans="1:8" ht="47.25" x14ac:dyDescent="0.25">
      <c r="A930" s="45" t="s">
        <v>640</v>
      </c>
      <c r="B930" s="20" t="s">
        <v>881</v>
      </c>
      <c r="C930" s="40" t="s">
        <v>250</v>
      </c>
      <c r="D930" s="40" t="s">
        <v>231</v>
      </c>
      <c r="E930" s="2">
        <v>240</v>
      </c>
      <c r="F930" s="2">
        <v>908</v>
      </c>
      <c r="G930" s="6">
        <f>G929</f>
        <v>500</v>
      </c>
      <c r="H930" s="6">
        <f>H929</f>
        <v>500</v>
      </c>
    </row>
    <row r="931" spans="1:8" ht="78.75" x14ac:dyDescent="0.25">
      <c r="A931" s="58" t="s">
        <v>1181</v>
      </c>
      <c r="B931" s="24" t="s">
        <v>806</v>
      </c>
      <c r="C931" s="7"/>
      <c r="D931" s="7"/>
      <c r="E931" s="3"/>
      <c r="F931" s="3"/>
      <c r="G931" s="4">
        <f>G933</f>
        <v>3266.2200000000003</v>
      </c>
      <c r="H931" s="4">
        <f>H933</f>
        <v>239.82000000000016</v>
      </c>
    </row>
    <row r="932" spans="1:8" ht="31.5" x14ac:dyDescent="0.25">
      <c r="A932" s="23" t="s">
        <v>1003</v>
      </c>
      <c r="B932" s="24" t="s">
        <v>1182</v>
      </c>
      <c r="C932" s="7"/>
      <c r="D932" s="7"/>
      <c r="E932" s="3"/>
      <c r="F932" s="3"/>
      <c r="G932" s="4">
        <f t="shared" ref="G932:H936" si="140">G933</f>
        <v>3266.2200000000003</v>
      </c>
      <c r="H932" s="4">
        <f t="shared" si="140"/>
        <v>239.82000000000016</v>
      </c>
    </row>
    <row r="933" spans="1:8" ht="15.75" x14ac:dyDescent="0.25">
      <c r="A933" s="45" t="s">
        <v>133</v>
      </c>
      <c r="B933" s="20" t="s">
        <v>1182</v>
      </c>
      <c r="C933" s="40" t="s">
        <v>134</v>
      </c>
      <c r="D933" s="40"/>
      <c r="E933" s="2"/>
      <c r="F933" s="2"/>
      <c r="G933" s="6">
        <f t="shared" si="140"/>
        <v>3266.2200000000003</v>
      </c>
      <c r="H933" s="6">
        <f t="shared" si="140"/>
        <v>239.82000000000016</v>
      </c>
    </row>
    <row r="934" spans="1:8" ht="15.75" x14ac:dyDescent="0.25">
      <c r="A934" s="45" t="s">
        <v>155</v>
      </c>
      <c r="B934" s="20" t="s">
        <v>1182</v>
      </c>
      <c r="C934" s="40" t="s">
        <v>134</v>
      </c>
      <c r="D934" s="40" t="s">
        <v>156</v>
      </c>
      <c r="E934" s="2"/>
      <c r="F934" s="2"/>
      <c r="G934" s="6">
        <f t="shared" si="140"/>
        <v>3266.2200000000003</v>
      </c>
      <c r="H934" s="6">
        <f t="shared" si="140"/>
        <v>239.82000000000016</v>
      </c>
    </row>
    <row r="935" spans="1:8" ht="31.5" x14ac:dyDescent="0.25">
      <c r="A935" s="45" t="s">
        <v>816</v>
      </c>
      <c r="B935" s="20" t="s">
        <v>1183</v>
      </c>
      <c r="C935" s="40" t="s">
        <v>134</v>
      </c>
      <c r="D935" s="40" t="s">
        <v>156</v>
      </c>
      <c r="E935" s="2"/>
      <c r="F935" s="2"/>
      <c r="G935" s="6">
        <f t="shared" si="140"/>
        <v>3266.2200000000003</v>
      </c>
      <c r="H935" s="6">
        <f t="shared" si="140"/>
        <v>239.82000000000016</v>
      </c>
    </row>
    <row r="936" spans="1:8" ht="31.5" x14ac:dyDescent="0.25">
      <c r="A936" s="45" t="s">
        <v>147</v>
      </c>
      <c r="B936" s="20" t="s">
        <v>1183</v>
      </c>
      <c r="C936" s="40" t="s">
        <v>134</v>
      </c>
      <c r="D936" s="40" t="s">
        <v>156</v>
      </c>
      <c r="E936" s="2">
        <v>200</v>
      </c>
      <c r="F936" s="2"/>
      <c r="G936" s="6">
        <f t="shared" si="140"/>
        <v>3266.2200000000003</v>
      </c>
      <c r="H936" s="6">
        <f t="shared" si="140"/>
        <v>239.82000000000016</v>
      </c>
    </row>
    <row r="937" spans="1:8" ht="47.25" x14ac:dyDescent="0.25">
      <c r="A937" s="45" t="s">
        <v>149</v>
      </c>
      <c r="B937" s="20" t="s">
        <v>1183</v>
      </c>
      <c r="C937" s="40" t="s">
        <v>134</v>
      </c>
      <c r="D937" s="40" t="s">
        <v>156</v>
      </c>
      <c r="E937" s="2">
        <v>240</v>
      </c>
      <c r="F937" s="2"/>
      <c r="G937" s="6">
        <f>'пр.5.1.ведом.21-22'!G524</f>
        <v>3266.2200000000003</v>
      </c>
      <c r="H937" s="6">
        <f>'пр.5.1.ведом.21-22'!H524</f>
        <v>239.82000000000016</v>
      </c>
    </row>
    <row r="938" spans="1:8" ht="47.25" x14ac:dyDescent="0.25">
      <c r="A938" s="45" t="s">
        <v>403</v>
      </c>
      <c r="B938" s="20" t="s">
        <v>1183</v>
      </c>
      <c r="C938" s="40" t="s">
        <v>134</v>
      </c>
      <c r="D938" s="40" t="s">
        <v>156</v>
      </c>
      <c r="E938" s="2">
        <v>240</v>
      </c>
      <c r="F938" s="2">
        <v>905</v>
      </c>
      <c r="G938" s="6">
        <f>G937</f>
        <v>3266.2200000000003</v>
      </c>
      <c r="H938" s="6">
        <f>H937</f>
        <v>239.82000000000016</v>
      </c>
    </row>
    <row r="939" spans="1:8" ht="94.5" x14ac:dyDescent="0.25">
      <c r="A939" s="41" t="s">
        <v>1184</v>
      </c>
      <c r="B939" s="24" t="s">
        <v>861</v>
      </c>
      <c r="C939" s="7"/>
      <c r="D939" s="7"/>
      <c r="E939" s="3"/>
      <c r="F939" s="3"/>
      <c r="G939" s="4">
        <f>G941</f>
        <v>40</v>
      </c>
      <c r="H939" s="4">
        <f>H941</f>
        <v>40</v>
      </c>
    </row>
    <row r="940" spans="1:8" ht="47.25" x14ac:dyDescent="0.25">
      <c r="A940" s="225" t="s">
        <v>900</v>
      </c>
      <c r="B940" s="24" t="s">
        <v>1262</v>
      </c>
      <c r="C940" s="7"/>
      <c r="D940" s="7"/>
      <c r="E940" s="3"/>
      <c r="F940" s="3"/>
      <c r="G940" s="4">
        <f t="shared" ref="G940:H944" si="141">G941</f>
        <v>40</v>
      </c>
      <c r="H940" s="4">
        <f t="shared" si="141"/>
        <v>40</v>
      </c>
    </row>
    <row r="941" spans="1:8" ht="15.75" x14ac:dyDescent="0.25">
      <c r="A941" s="45" t="s">
        <v>133</v>
      </c>
      <c r="B941" s="20" t="s">
        <v>1262</v>
      </c>
      <c r="C941" s="40" t="s">
        <v>134</v>
      </c>
      <c r="D941" s="40"/>
      <c r="E941" s="2"/>
      <c r="F941" s="2"/>
      <c r="G941" s="6">
        <f t="shared" si="141"/>
        <v>40</v>
      </c>
      <c r="H941" s="6">
        <f t="shared" si="141"/>
        <v>40</v>
      </c>
    </row>
    <row r="942" spans="1:8" ht="15.75" x14ac:dyDescent="0.25">
      <c r="A942" s="45" t="s">
        <v>155</v>
      </c>
      <c r="B942" s="20" t="s">
        <v>1262</v>
      </c>
      <c r="C942" s="40" t="s">
        <v>134</v>
      </c>
      <c r="D942" s="40" t="s">
        <v>156</v>
      </c>
      <c r="E942" s="2"/>
      <c r="F942" s="2"/>
      <c r="G942" s="6">
        <f t="shared" si="141"/>
        <v>40</v>
      </c>
      <c r="H942" s="6">
        <f t="shared" si="141"/>
        <v>40</v>
      </c>
    </row>
    <row r="943" spans="1:8" ht="47.25" x14ac:dyDescent="0.25">
      <c r="A943" s="98" t="s">
        <v>187</v>
      </c>
      <c r="B943" s="20" t="s">
        <v>901</v>
      </c>
      <c r="C943" s="40" t="s">
        <v>134</v>
      </c>
      <c r="D943" s="40" t="s">
        <v>156</v>
      </c>
      <c r="E943" s="2"/>
      <c r="F943" s="2"/>
      <c r="G943" s="6">
        <f t="shared" si="141"/>
        <v>40</v>
      </c>
      <c r="H943" s="6">
        <f t="shared" si="141"/>
        <v>40</v>
      </c>
    </row>
    <row r="944" spans="1:8" ht="31.5" x14ac:dyDescent="0.25">
      <c r="A944" s="45" t="s">
        <v>147</v>
      </c>
      <c r="B944" s="20" t="s">
        <v>901</v>
      </c>
      <c r="C944" s="40" t="s">
        <v>134</v>
      </c>
      <c r="D944" s="40" t="s">
        <v>156</v>
      </c>
      <c r="E944" s="2">
        <v>200</v>
      </c>
      <c r="F944" s="2"/>
      <c r="G944" s="6">
        <f t="shared" si="141"/>
        <v>40</v>
      </c>
      <c r="H944" s="6">
        <f t="shared" si="141"/>
        <v>40</v>
      </c>
    </row>
    <row r="945" spans="1:10" ht="47.25" x14ac:dyDescent="0.25">
      <c r="A945" s="45" t="s">
        <v>149</v>
      </c>
      <c r="B945" s="20" t="s">
        <v>901</v>
      </c>
      <c r="C945" s="40" t="s">
        <v>134</v>
      </c>
      <c r="D945" s="40" t="s">
        <v>156</v>
      </c>
      <c r="E945" s="2">
        <v>240</v>
      </c>
      <c r="F945" s="2"/>
      <c r="G945" s="6">
        <f>'пр.5.1.ведом.21-22'!G128</f>
        <v>40</v>
      </c>
      <c r="H945" s="6">
        <f>'пр.5.1.ведом.21-22'!H128</f>
        <v>40</v>
      </c>
    </row>
    <row r="946" spans="1:10" ht="31.5" x14ac:dyDescent="0.25">
      <c r="A946" s="29" t="s">
        <v>164</v>
      </c>
      <c r="B946" s="20" t="s">
        <v>901</v>
      </c>
      <c r="C946" s="40" t="s">
        <v>134</v>
      </c>
      <c r="D946" s="40" t="s">
        <v>156</v>
      </c>
      <c r="E946" s="2">
        <v>240</v>
      </c>
      <c r="F946" s="2">
        <v>902</v>
      </c>
      <c r="G946" s="6">
        <f>G939</f>
        <v>40</v>
      </c>
      <c r="H946" s="6">
        <f>H939</f>
        <v>40</v>
      </c>
      <c r="J946" s="22"/>
    </row>
    <row r="947" spans="1:10" ht="78.75" x14ac:dyDescent="0.25">
      <c r="A947" s="41" t="s">
        <v>1186</v>
      </c>
      <c r="B947" s="24" t="s">
        <v>862</v>
      </c>
      <c r="C947" s="7"/>
      <c r="D947" s="7"/>
      <c r="E947" s="3"/>
      <c r="F947" s="3"/>
      <c r="G947" s="4">
        <f>G949</f>
        <v>100</v>
      </c>
      <c r="H947" s="4">
        <f>H949</f>
        <v>100</v>
      </c>
    </row>
    <row r="948" spans="1:10" ht="31.5" x14ac:dyDescent="0.25">
      <c r="A948" s="58" t="s">
        <v>902</v>
      </c>
      <c r="B948" s="24" t="s">
        <v>910</v>
      </c>
      <c r="C948" s="7"/>
      <c r="D948" s="7"/>
      <c r="E948" s="3"/>
      <c r="F948" s="3"/>
      <c r="G948" s="4">
        <f t="shared" ref="G948:H952" si="142">G949</f>
        <v>100</v>
      </c>
      <c r="H948" s="4">
        <f t="shared" si="142"/>
        <v>100</v>
      </c>
    </row>
    <row r="949" spans="1:10" ht="15.75" x14ac:dyDescent="0.25">
      <c r="A949" s="45" t="s">
        <v>133</v>
      </c>
      <c r="B949" s="20" t="s">
        <v>910</v>
      </c>
      <c r="C949" s="40" t="s">
        <v>134</v>
      </c>
      <c r="D949" s="40"/>
      <c r="E949" s="2"/>
      <c r="F949" s="2"/>
      <c r="G949" s="6">
        <f t="shared" si="142"/>
        <v>100</v>
      </c>
      <c r="H949" s="6">
        <f t="shared" si="142"/>
        <v>100</v>
      </c>
    </row>
    <row r="950" spans="1:10" ht="15.75" x14ac:dyDescent="0.25">
      <c r="A950" s="45" t="s">
        <v>155</v>
      </c>
      <c r="B950" s="20" t="s">
        <v>910</v>
      </c>
      <c r="C950" s="40" t="s">
        <v>134</v>
      </c>
      <c r="D950" s="40" t="s">
        <v>156</v>
      </c>
      <c r="E950" s="2"/>
      <c r="F950" s="2"/>
      <c r="G950" s="6">
        <f t="shared" si="142"/>
        <v>100</v>
      </c>
      <c r="H950" s="6">
        <f t="shared" si="142"/>
        <v>100</v>
      </c>
    </row>
    <row r="951" spans="1:10" ht="31.5" x14ac:dyDescent="0.25">
      <c r="A951" s="45" t="s">
        <v>191</v>
      </c>
      <c r="B951" s="20" t="s">
        <v>903</v>
      </c>
      <c r="C951" s="40" t="s">
        <v>134</v>
      </c>
      <c r="D951" s="40" t="s">
        <v>156</v>
      </c>
      <c r="E951" s="2"/>
      <c r="F951" s="2"/>
      <c r="G951" s="6">
        <f t="shared" si="142"/>
        <v>100</v>
      </c>
      <c r="H951" s="6">
        <f t="shared" si="142"/>
        <v>100</v>
      </c>
    </row>
    <row r="952" spans="1:10" ht="31.5" x14ac:dyDescent="0.25">
      <c r="A952" s="45" t="s">
        <v>147</v>
      </c>
      <c r="B952" s="20" t="s">
        <v>903</v>
      </c>
      <c r="C952" s="40" t="s">
        <v>134</v>
      </c>
      <c r="D952" s="40" t="s">
        <v>156</v>
      </c>
      <c r="E952" s="2">
        <v>200</v>
      </c>
      <c r="F952" s="2"/>
      <c r="G952" s="6">
        <f t="shared" si="142"/>
        <v>100</v>
      </c>
      <c r="H952" s="6">
        <f t="shared" si="142"/>
        <v>100</v>
      </c>
    </row>
    <row r="953" spans="1:10" ht="47.25" x14ac:dyDescent="0.25">
      <c r="A953" s="45" t="s">
        <v>149</v>
      </c>
      <c r="B953" s="20" t="s">
        <v>903</v>
      </c>
      <c r="C953" s="40" t="s">
        <v>134</v>
      </c>
      <c r="D953" s="40" t="s">
        <v>156</v>
      </c>
      <c r="E953" s="2">
        <v>240</v>
      </c>
      <c r="F953" s="2"/>
      <c r="G953" s="6">
        <f>'пр.5.1.ведом.21-22'!G133</f>
        <v>100</v>
      </c>
      <c r="H953" s="6">
        <f>'пр.5.1.ведом.21-22'!H133</f>
        <v>100</v>
      </c>
    </row>
    <row r="954" spans="1:10" ht="31.5" x14ac:dyDescent="0.25">
      <c r="A954" s="29" t="s">
        <v>164</v>
      </c>
      <c r="B954" s="20" t="s">
        <v>903</v>
      </c>
      <c r="C954" s="40" t="s">
        <v>134</v>
      </c>
      <c r="D954" s="40" t="s">
        <v>156</v>
      </c>
      <c r="E954" s="2">
        <v>240</v>
      </c>
      <c r="F954" s="2">
        <v>902</v>
      </c>
      <c r="G954" s="6">
        <f>G947</f>
        <v>100</v>
      </c>
      <c r="H954" s="6">
        <f>H947</f>
        <v>100</v>
      </c>
    </row>
    <row r="955" spans="1:10" s="217" customFormat="1" ht="47.25" x14ac:dyDescent="0.25">
      <c r="A955" s="23" t="s">
        <v>1363</v>
      </c>
      <c r="B955" s="24" t="s">
        <v>1362</v>
      </c>
      <c r="C955" s="40"/>
      <c r="D955" s="40"/>
      <c r="E955" s="2"/>
      <c r="F955" s="2"/>
      <c r="G955" s="4">
        <f t="shared" ref="G955:H961" si="143">G956</f>
        <v>235</v>
      </c>
      <c r="H955" s="4">
        <f t="shared" si="143"/>
        <v>204</v>
      </c>
    </row>
    <row r="956" spans="1:10" s="217" customFormat="1" ht="31.5" x14ac:dyDescent="0.25">
      <c r="A956" s="23" t="s">
        <v>1364</v>
      </c>
      <c r="B956" s="24" t="s">
        <v>1365</v>
      </c>
      <c r="C956" s="40"/>
      <c r="D956" s="40"/>
      <c r="E956" s="2"/>
      <c r="F956" s="2"/>
      <c r="G956" s="4">
        <f t="shared" si="143"/>
        <v>235</v>
      </c>
      <c r="H956" s="4">
        <f t="shared" si="143"/>
        <v>204</v>
      </c>
    </row>
    <row r="957" spans="1:10" s="217" customFormat="1" ht="15.75" x14ac:dyDescent="0.25">
      <c r="A957" s="29" t="s">
        <v>406</v>
      </c>
      <c r="B957" s="20" t="s">
        <v>1365</v>
      </c>
      <c r="C957" s="40" t="s">
        <v>250</v>
      </c>
      <c r="D957" s="40"/>
      <c r="E957" s="2"/>
      <c r="F957" s="2"/>
      <c r="G957" s="6">
        <f t="shared" si="143"/>
        <v>235</v>
      </c>
      <c r="H957" s="6">
        <f t="shared" si="143"/>
        <v>204</v>
      </c>
    </row>
    <row r="958" spans="1:10" s="217" customFormat="1" ht="15.75" x14ac:dyDescent="0.25">
      <c r="A958" s="29" t="s">
        <v>533</v>
      </c>
      <c r="B958" s="20" t="s">
        <v>1365</v>
      </c>
      <c r="C958" s="40" t="s">
        <v>250</v>
      </c>
      <c r="D958" s="40" t="s">
        <v>229</v>
      </c>
      <c r="E958" s="2"/>
      <c r="F958" s="2"/>
      <c r="G958" s="6">
        <f t="shared" si="143"/>
        <v>235</v>
      </c>
      <c r="H958" s="6">
        <f t="shared" si="143"/>
        <v>204</v>
      </c>
    </row>
    <row r="959" spans="1:10" s="217" customFormat="1" ht="31.5" x14ac:dyDescent="0.25">
      <c r="A959" s="29" t="s">
        <v>1367</v>
      </c>
      <c r="B959" s="20" t="s">
        <v>1366</v>
      </c>
      <c r="C959" s="40" t="s">
        <v>250</v>
      </c>
      <c r="D959" s="40" t="s">
        <v>229</v>
      </c>
      <c r="E959" s="2"/>
      <c r="F959" s="2"/>
      <c r="G959" s="6">
        <f t="shared" si="143"/>
        <v>235</v>
      </c>
      <c r="H959" s="6">
        <f t="shared" si="143"/>
        <v>204</v>
      </c>
    </row>
    <row r="960" spans="1:10" s="217" customFormat="1" ht="31.5" x14ac:dyDescent="0.25">
      <c r="A960" s="45" t="s">
        <v>147</v>
      </c>
      <c r="B960" s="20" t="s">
        <v>1366</v>
      </c>
      <c r="C960" s="40" t="s">
        <v>250</v>
      </c>
      <c r="D960" s="40" t="s">
        <v>229</v>
      </c>
      <c r="E960" s="2">
        <v>200</v>
      </c>
      <c r="F960" s="2"/>
      <c r="G960" s="6">
        <f t="shared" si="143"/>
        <v>235</v>
      </c>
      <c r="H960" s="6">
        <f t="shared" si="143"/>
        <v>204</v>
      </c>
    </row>
    <row r="961" spans="1:8" s="217" customFormat="1" ht="47.25" x14ac:dyDescent="0.25">
      <c r="A961" s="45" t="s">
        <v>149</v>
      </c>
      <c r="B961" s="20" t="s">
        <v>1366</v>
      </c>
      <c r="C961" s="40" t="s">
        <v>250</v>
      </c>
      <c r="D961" s="40" t="s">
        <v>229</v>
      </c>
      <c r="E961" s="2">
        <v>240</v>
      </c>
      <c r="F961" s="2"/>
      <c r="G961" s="6">
        <f t="shared" si="143"/>
        <v>235</v>
      </c>
      <c r="H961" s="6">
        <f t="shared" si="143"/>
        <v>204</v>
      </c>
    </row>
    <row r="962" spans="1:8" s="217" customFormat="1" ht="63" x14ac:dyDescent="0.25">
      <c r="A962" s="29" t="s">
        <v>1307</v>
      </c>
      <c r="B962" s="20" t="s">
        <v>1366</v>
      </c>
      <c r="C962" s="40" t="s">
        <v>250</v>
      </c>
      <c r="D962" s="40" t="s">
        <v>229</v>
      </c>
      <c r="E962" s="2">
        <v>240</v>
      </c>
      <c r="F962" s="2">
        <v>908</v>
      </c>
      <c r="G962" s="6">
        <f>'пр.5.1.ведом.21-22'!G969</f>
        <v>235</v>
      </c>
      <c r="H962" s="6">
        <f>'пр.5.1.ведом.21-22'!H969</f>
        <v>204</v>
      </c>
    </row>
    <row r="963" spans="1:8" ht="15.75" x14ac:dyDescent="0.25">
      <c r="A963" s="72" t="s">
        <v>674</v>
      </c>
      <c r="B963" s="72"/>
      <c r="C963" s="72"/>
      <c r="D963" s="72"/>
      <c r="E963" s="72"/>
      <c r="F963" s="72"/>
      <c r="G963" s="121">
        <f>G947+G939+G931+G923+G865+G830+G761+G704+G673+G516+G455+G443+G405+G393+G160+G27+G9+G780+G955</f>
        <v>483220.53200000001</v>
      </c>
      <c r="H963" s="121">
        <f>H947+H939+H931+H923+H865+H830+H761+H704+H673+H516+H455+H443+H405+H393+H160+H27+H9+H780+H955</f>
        <v>479916.32</v>
      </c>
    </row>
    <row r="965" spans="1:8" hidden="1" x14ac:dyDescent="0.25">
      <c r="G965" s="238">
        <f>'пр.5.1.ведом.21-22'!G1160</f>
        <v>483220.53200000001</v>
      </c>
      <c r="H965" s="238">
        <f>'пр.5.1.ведом.21-22'!H1160</f>
        <v>480267.02000000008</v>
      </c>
    </row>
    <row r="966" spans="1:8" hidden="1" x14ac:dyDescent="0.25"/>
    <row r="967" spans="1:8" hidden="1" x14ac:dyDescent="0.25">
      <c r="G967" s="238">
        <f>G965-G963</f>
        <v>0</v>
      </c>
      <c r="H967" s="238">
        <f>H965-H963</f>
        <v>350.70000000006985</v>
      </c>
    </row>
  </sheetData>
  <mergeCells count="1">
    <mergeCell ref="A5:H5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H1" sqref="H1:H5"/>
    </sheetView>
  </sheetViews>
  <sheetFormatPr defaultRowHeight="15" x14ac:dyDescent="0.25"/>
  <cols>
    <col min="1" max="1" width="33.28515625" customWidth="1"/>
    <col min="2" max="2" width="15.5703125" style="217" customWidth="1"/>
    <col min="4" max="4" width="8" customWidth="1"/>
    <col min="5" max="5" width="8.85546875" style="217" customWidth="1"/>
    <col min="6" max="6" width="13.7109375" customWidth="1"/>
    <col min="7" max="7" width="15.140625" customWidth="1"/>
    <col min="8" max="9" width="15.140625" style="331" customWidth="1"/>
  </cols>
  <sheetData>
    <row r="1" spans="1:9" ht="18.75" customHeight="1" x14ac:dyDescent="0.3">
      <c r="A1" s="396"/>
      <c r="B1" s="396"/>
      <c r="C1" s="396"/>
      <c r="D1" s="62"/>
      <c r="E1" s="62"/>
      <c r="F1" s="218"/>
      <c r="G1" s="211"/>
      <c r="H1" s="378" t="s">
        <v>633</v>
      </c>
      <c r="I1" s="130"/>
    </row>
    <row r="2" spans="1:9" ht="18.75" customHeight="1" x14ac:dyDescent="0.3">
      <c r="A2" s="396"/>
      <c r="B2" s="396"/>
      <c r="C2" s="396"/>
      <c r="D2" s="62"/>
      <c r="E2" s="62"/>
      <c r="F2" s="218"/>
      <c r="G2" s="211"/>
      <c r="H2" s="378" t="s">
        <v>1552</v>
      </c>
      <c r="I2" s="130"/>
    </row>
    <row r="3" spans="1:9" ht="15.75" x14ac:dyDescent="0.25">
      <c r="A3" s="62"/>
      <c r="B3" s="62"/>
      <c r="C3" s="62"/>
      <c r="D3" s="62"/>
      <c r="E3" s="62"/>
      <c r="F3" s="62"/>
      <c r="G3" s="130"/>
      <c r="H3" s="379" t="s">
        <v>1579</v>
      </c>
      <c r="I3" s="366"/>
    </row>
    <row r="4" spans="1:9" s="331" customFormat="1" ht="15.75" x14ac:dyDescent="0.25">
      <c r="A4" s="62"/>
      <c r="B4" s="62"/>
      <c r="C4" s="62"/>
      <c r="D4" s="62"/>
      <c r="E4" s="62"/>
      <c r="F4" s="62"/>
      <c r="G4" s="130"/>
      <c r="H4" s="379" t="s">
        <v>1580</v>
      </c>
      <c r="I4" s="366"/>
    </row>
    <row r="5" spans="1:9" s="331" customFormat="1" ht="15.75" x14ac:dyDescent="0.25">
      <c r="A5" s="62"/>
      <c r="B5" s="62"/>
      <c r="C5" s="62"/>
      <c r="D5" s="62"/>
      <c r="E5" s="62"/>
      <c r="F5" s="62"/>
      <c r="G5" s="130"/>
      <c r="H5" s="379" t="s">
        <v>1581</v>
      </c>
      <c r="I5" s="366"/>
    </row>
    <row r="6" spans="1:9" s="217" customFormat="1" ht="15.75" x14ac:dyDescent="0.25">
      <c r="A6" s="62"/>
      <c r="B6" s="62"/>
      <c r="C6" s="62"/>
      <c r="D6" s="62"/>
      <c r="E6" s="62"/>
      <c r="F6" s="62"/>
      <c r="G6" s="130"/>
      <c r="H6" s="130"/>
      <c r="I6" s="130"/>
    </row>
    <row r="7" spans="1:9" s="217" customFormat="1" ht="15.75" x14ac:dyDescent="0.25">
      <c r="A7" s="62"/>
      <c r="B7" s="62"/>
      <c r="C7" s="62"/>
      <c r="D7" s="62"/>
      <c r="E7" s="62"/>
      <c r="F7" s="62"/>
      <c r="G7" s="130"/>
      <c r="H7" s="130"/>
      <c r="I7" s="130"/>
    </row>
    <row r="8" spans="1:9" ht="15" customHeight="1" x14ac:dyDescent="0.25">
      <c r="A8" s="391" t="s">
        <v>1557</v>
      </c>
      <c r="B8" s="391"/>
      <c r="C8" s="391"/>
      <c r="D8" s="391"/>
      <c r="E8" s="391"/>
      <c r="F8" s="391"/>
      <c r="G8" s="391"/>
      <c r="H8" s="391"/>
      <c r="I8" s="391"/>
    </row>
    <row r="9" spans="1:9" ht="15" customHeight="1" x14ac:dyDescent="0.25">
      <c r="A9" s="391"/>
      <c r="B9" s="391"/>
      <c r="C9" s="391"/>
      <c r="D9" s="391"/>
      <c r="E9" s="391"/>
      <c r="F9" s="391"/>
      <c r="G9" s="391"/>
      <c r="H9" s="391"/>
      <c r="I9" s="391"/>
    </row>
    <row r="10" spans="1:9" ht="16.5" x14ac:dyDescent="0.25">
      <c r="A10" s="255"/>
      <c r="B10" s="255"/>
      <c r="C10" s="255"/>
      <c r="D10" s="255"/>
      <c r="E10" s="255"/>
      <c r="F10" s="255"/>
      <c r="G10" s="255"/>
      <c r="H10" s="255"/>
      <c r="I10" s="255"/>
    </row>
    <row r="11" spans="1:9" ht="15.75" x14ac:dyDescent="0.25">
      <c r="A11" s="62"/>
      <c r="B11" s="62"/>
      <c r="C11" s="62"/>
      <c r="D11" s="62"/>
      <c r="E11" s="62"/>
      <c r="F11" s="64"/>
      <c r="G11" s="65"/>
      <c r="H11" s="65"/>
      <c r="I11" s="65"/>
    </row>
    <row r="12" spans="1:9" ht="63" x14ac:dyDescent="0.25">
      <c r="A12" s="66" t="s">
        <v>609</v>
      </c>
      <c r="B12" s="66" t="s">
        <v>1294</v>
      </c>
      <c r="C12" s="66" t="s">
        <v>1292</v>
      </c>
      <c r="D12" s="66" t="s">
        <v>129</v>
      </c>
      <c r="E12" s="66" t="s">
        <v>1293</v>
      </c>
      <c r="F12" s="66" t="s">
        <v>127</v>
      </c>
      <c r="G12" s="239" t="s">
        <v>1547</v>
      </c>
      <c r="H12" s="215" t="s">
        <v>1548</v>
      </c>
      <c r="I12" s="215" t="s">
        <v>1549</v>
      </c>
    </row>
    <row r="13" spans="1:9" s="217" customFormat="1" ht="78.75" x14ac:dyDescent="0.25">
      <c r="A13" s="248" t="s">
        <v>1201</v>
      </c>
      <c r="B13" s="20" t="s">
        <v>1222</v>
      </c>
      <c r="C13" s="40"/>
      <c r="D13" s="40"/>
      <c r="E13" s="40"/>
      <c r="F13" s="5"/>
      <c r="G13" s="6">
        <f>G14</f>
        <v>25</v>
      </c>
      <c r="H13" s="6">
        <f t="shared" ref="H13:H17" si="0">H14</f>
        <v>0</v>
      </c>
      <c r="I13" s="6">
        <f>H13/G13*100</f>
        <v>0</v>
      </c>
    </row>
    <row r="14" spans="1:9" s="217" customFormat="1" ht="15.75" x14ac:dyDescent="0.25">
      <c r="A14" s="45" t="s">
        <v>279</v>
      </c>
      <c r="B14" s="20" t="s">
        <v>1222</v>
      </c>
      <c r="C14" s="40" t="s">
        <v>280</v>
      </c>
      <c r="D14" s="40"/>
      <c r="E14" s="207"/>
      <c r="F14" s="5"/>
      <c r="G14" s="6">
        <f>G15</f>
        <v>25</v>
      </c>
      <c r="H14" s="6">
        <f t="shared" si="0"/>
        <v>0</v>
      </c>
      <c r="I14" s="6">
        <f t="shared" ref="I14:I43" si="1">H14/G14*100</f>
        <v>0</v>
      </c>
    </row>
    <row r="15" spans="1:9" s="217" customFormat="1" ht="31.5" x14ac:dyDescent="0.25">
      <c r="A15" s="45" t="s">
        <v>482</v>
      </c>
      <c r="B15" s="20" t="s">
        <v>1222</v>
      </c>
      <c r="C15" s="40" t="s">
        <v>280</v>
      </c>
      <c r="D15" s="40" t="s">
        <v>280</v>
      </c>
      <c r="E15" s="207"/>
      <c r="F15" s="5"/>
      <c r="G15" s="6">
        <f>G16</f>
        <v>25</v>
      </c>
      <c r="H15" s="6">
        <f t="shared" si="0"/>
        <v>0</v>
      </c>
      <c r="I15" s="6">
        <f t="shared" si="1"/>
        <v>0</v>
      </c>
    </row>
    <row r="16" spans="1:9" ht="31.5" x14ac:dyDescent="0.25">
      <c r="A16" s="29" t="s">
        <v>264</v>
      </c>
      <c r="B16" s="20" t="s">
        <v>1222</v>
      </c>
      <c r="C16" s="40" t="s">
        <v>280</v>
      </c>
      <c r="D16" s="40" t="s">
        <v>280</v>
      </c>
      <c r="E16" s="40" t="s">
        <v>265</v>
      </c>
      <c r="F16" s="5"/>
      <c r="G16" s="6">
        <f>G17</f>
        <v>25</v>
      </c>
      <c r="H16" s="6">
        <f t="shared" si="0"/>
        <v>0</v>
      </c>
      <c r="I16" s="6">
        <f t="shared" si="1"/>
        <v>0</v>
      </c>
    </row>
    <row r="17" spans="1:9" ht="39.200000000000003" customHeight="1" x14ac:dyDescent="0.25">
      <c r="A17" s="29" t="s">
        <v>364</v>
      </c>
      <c r="B17" s="20" t="s">
        <v>1222</v>
      </c>
      <c r="C17" s="40" t="s">
        <v>280</v>
      </c>
      <c r="D17" s="40" t="s">
        <v>280</v>
      </c>
      <c r="E17" s="40" t="s">
        <v>365</v>
      </c>
      <c r="F17" s="5"/>
      <c r="G17" s="6">
        <f>G18</f>
        <v>25</v>
      </c>
      <c r="H17" s="6">
        <f t="shared" si="0"/>
        <v>0</v>
      </c>
      <c r="I17" s="6">
        <f t="shared" si="1"/>
        <v>0</v>
      </c>
    </row>
    <row r="18" spans="1:9" s="217" customFormat="1" ht="66.2" customHeight="1" x14ac:dyDescent="0.25">
      <c r="A18" s="45" t="s">
        <v>675</v>
      </c>
      <c r="B18" s="20" t="s">
        <v>1222</v>
      </c>
      <c r="C18" s="40" t="s">
        <v>280</v>
      </c>
      <c r="D18" s="40" t="s">
        <v>280</v>
      </c>
      <c r="E18" s="40" t="s">
        <v>365</v>
      </c>
      <c r="F18" s="5">
        <v>903</v>
      </c>
      <c r="G18" s="6">
        <f>'Пр.4 ведом.20'!G337</f>
        <v>25</v>
      </c>
      <c r="H18" s="6">
        <f>'Пр.4 ведом.20'!H337</f>
        <v>0</v>
      </c>
      <c r="I18" s="6">
        <f t="shared" si="1"/>
        <v>0</v>
      </c>
    </row>
    <row r="19" spans="1:9" s="217" customFormat="1" ht="42.75" customHeight="1" x14ac:dyDescent="0.25">
      <c r="A19" s="25" t="s">
        <v>1203</v>
      </c>
      <c r="B19" s="20" t="s">
        <v>979</v>
      </c>
      <c r="C19" s="40"/>
      <c r="D19" s="40"/>
      <c r="E19" s="40"/>
      <c r="F19" s="5"/>
      <c r="G19" s="6">
        <f>G20</f>
        <v>420</v>
      </c>
      <c r="H19" s="6">
        <f t="shared" ref="H19:H23" si="2">H20</f>
        <v>130</v>
      </c>
      <c r="I19" s="6">
        <f t="shared" si="1"/>
        <v>30.952380952380953</v>
      </c>
    </row>
    <row r="20" spans="1:9" s="217" customFormat="1" ht="20.25" customHeight="1" x14ac:dyDescent="0.25">
      <c r="A20" s="25" t="s">
        <v>1281</v>
      </c>
      <c r="B20" s="20" t="s">
        <v>979</v>
      </c>
      <c r="C20" s="40" t="s">
        <v>260</v>
      </c>
      <c r="D20" s="40"/>
      <c r="E20" s="40"/>
      <c r="F20" s="5"/>
      <c r="G20" s="6">
        <f>G21</f>
        <v>420</v>
      </c>
      <c r="H20" s="6">
        <f t="shared" si="2"/>
        <v>130</v>
      </c>
      <c r="I20" s="6">
        <f t="shared" si="1"/>
        <v>30.952380952380953</v>
      </c>
    </row>
    <row r="21" spans="1:9" s="217" customFormat="1" ht="37.5" customHeight="1" x14ac:dyDescent="0.25">
      <c r="A21" s="29" t="s">
        <v>268</v>
      </c>
      <c r="B21" s="20" t="s">
        <v>979</v>
      </c>
      <c r="C21" s="40" t="s">
        <v>260</v>
      </c>
      <c r="D21" s="40" t="s">
        <v>231</v>
      </c>
      <c r="E21" s="40"/>
      <c r="F21" s="5"/>
      <c r="G21" s="6">
        <f>G22</f>
        <v>420</v>
      </c>
      <c r="H21" s="6">
        <f t="shared" si="2"/>
        <v>130</v>
      </c>
      <c r="I21" s="6">
        <f t="shared" si="1"/>
        <v>30.952380952380953</v>
      </c>
    </row>
    <row r="22" spans="1:9" s="217" customFormat="1" ht="33.75" customHeight="1" x14ac:dyDescent="0.25">
      <c r="A22" s="25" t="s">
        <v>264</v>
      </c>
      <c r="B22" s="20" t="s">
        <v>979</v>
      </c>
      <c r="C22" s="40" t="s">
        <v>260</v>
      </c>
      <c r="D22" s="40" t="s">
        <v>231</v>
      </c>
      <c r="E22" s="40" t="s">
        <v>265</v>
      </c>
      <c r="F22" s="5"/>
      <c r="G22" s="6">
        <f>G23</f>
        <v>420</v>
      </c>
      <c r="H22" s="6">
        <f t="shared" si="2"/>
        <v>130</v>
      </c>
      <c r="I22" s="6">
        <f t="shared" si="1"/>
        <v>30.952380952380953</v>
      </c>
    </row>
    <row r="23" spans="1:9" s="217" customFormat="1" ht="37.5" customHeight="1" x14ac:dyDescent="0.25">
      <c r="A23" s="25" t="s">
        <v>364</v>
      </c>
      <c r="B23" s="20" t="s">
        <v>979</v>
      </c>
      <c r="C23" s="40" t="s">
        <v>260</v>
      </c>
      <c r="D23" s="40" t="s">
        <v>231</v>
      </c>
      <c r="E23" s="40" t="s">
        <v>365</v>
      </c>
      <c r="F23" s="5"/>
      <c r="G23" s="6">
        <f>G24</f>
        <v>420</v>
      </c>
      <c r="H23" s="6">
        <f t="shared" si="2"/>
        <v>130</v>
      </c>
      <c r="I23" s="6">
        <f t="shared" si="1"/>
        <v>30.952380952380953</v>
      </c>
    </row>
    <row r="24" spans="1:9" s="217" customFormat="1" ht="66.2" customHeight="1" x14ac:dyDescent="0.25">
      <c r="A24" s="45" t="s">
        <v>675</v>
      </c>
      <c r="B24" s="20" t="s">
        <v>979</v>
      </c>
      <c r="C24" s="40" t="s">
        <v>260</v>
      </c>
      <c r="D24" s="40" t="s">
        <v>231</v>
      </c>
      <c r="E24" s="40" t="s">
        <v>365</v>
      </c>
      <c r="F24" s="5">
        <v>903</v>
      </c>
      <c r="G24" s="6">
        <f>'Пр.4 ведом.20'!G456</f>
        <v>420</v>
      </c>
      <c r="H24" s="6">
        <f>'Пр.4 ведом.20'!H456</f>
        <v>130</v>
      </c>
      <c r="I24" s="6">
        <f t="shared" si="1"/>
        <v>30.952380952380953</v>
      </c>
    </row>
    <row r="25" spans="1:9" s="217" customFormat="1" ht="91.5" customHeight="1" x14ac:dyDescent="0.25">
      <c r="A25" s="99" t="s">
        <v>1206</v>
      </c>
      <c r="B25" s="20" t="s">
        <v>982</v>
      </c>
      <c r="C25" s="40"/>
      <c r="D25" s="40"/>
      <c r="E25" s="40"/>
      <c r="F25" s="5"/>
      <c r="G25" s="6">
        <f>G26</f>
        <v>630</v>
      </c>
      <c r="H25" s="6">
        <f t="shared" ref="H25:H29" si="3">H26</f>
        <v>231.15</v>
      </c>
      <c r="I25" s="6">
        <f t="shared" si="1"/>
        <v>36.69047619047619</v>
      </c>
    </row>
    <row r="26" spans="1:9" ht="15.75" x14ac:dyDescent="0.25">
      <c r="A26" s="80" t="s">
        <v>259</v>
      </c>
      <c r="B26" s="20" t="s">
        <v>982</v>
      </c>
      <c r="C26" s="9" t="s">
        <v>260</v>
      </c>
      <c r="D26" s="9"/>
      <c r="E26" s="9"/>
      <c r="F26" s="9"/>
      <c r="G26" s="10">
        <f>G27</f>
        <v>630</v>
      </c>
      <c r="H26" s="335">
        <f t="shared" si="3"/>
        <v>231.15</v>
      </c>
      <c r="I26" s="6">
        <f t="shared" si="1"/>
        <v>36.69047619047619</v>
      </c>
    </row>
    <row r="27" spans="1:9" ht="31.5" x14ac:dyDescent="0.25">
      <c r="A27" s="29" t="s">
        <v>268</v>
      </c>
      <c r="B27" s="20" t="s">
        <v>982</v>
      </c>
      <c r="C27" s="40" t="s">
        <v>260</v>
      </c>
      <c r="D27" s="40" t="s">
        <v>231</v>
      </c>
      <c r="E27" s="40"/>
      <c r="F27" s="5"/>
      <c r="G27" s="6">
        <f>G28</f>
        <v>630</v>
      </c>
      <c r="H27" s="6">
        <f t="shared" si="3"/>
        <v>231.15</v>
      </c>
      <c r="I27" s="6">
        <f t="shared" si="1"/>
        <v>36.69047619047619</v>
      </c>
    </row>
    <row r="28" spans="1:9" ht="31.5" x14ac:dyDescent="0.25">
      <c r="A28" s="29" t="s">
        <v>264</v>
      </c>
      <c r="B28" s="20" t="s">
        <v>982</v>
      </c>
      <c r="C28" s="40" t="s">
        <v>260</v>
      </c>
      <c r="D28" s="40" t="s">
        <v>231</v>
      </c>
      <c r="E28" s="40" t="s">
        <v>265</v>
      </c>
      <c r="F28" s="5"/>
      <c r="G28" s="6">
        <f>G29</f>
        <v>630</v>
      </c>
      <c r="H28" s="6">
        <f t="shared" si="3"/>
        <v>231.15</v>
      </c>
      <c r="I28" s="6">
        <f t="shared" si="1"/>
        <v>36.69047619047619</v>
      </c>
    </row>
    <row r="29" spans="1:9" ht="47.25" x14ac:dyDescent="0.25">
      <c r="A29" s="29" t="s">
        <v>364</v>
      </c>
      <c r="B29" s="20" t="s">
        <v>982</v>
      </c>
      <c r="C29" s="40" t="s">
        <v>260</v>
      </c>
      <c r="D29" s="40" t="s">
        <v>231</v>
      </c>
      <c r="E29" s="81" t="s">
        <v>365</v>
      </c>
      <c r="F29" s="5"/>
      <c r="G29" s="6">
        <f>G30</f>
        <v>630</v>
      </c>
      <c r="H29" s="6">
        <f t="shared" si="3"/>
        <v>231.15</v>
      </c>
      <c r="I29" s="6">
        <f t="shared" si="1"/>
        <v>36.69047619047619</v>
      </c>
    </row>
    <row r="30" spans="1:9" s="217" customFormat="1" ht="78.75" x14ac:dyDescent="0.25">
      <c r="A30" s="45" t="s">
        <v>675</v>
      </c>
      <c r="B30" s="20" t="s">
        <v>982</v>
      </c>
      <c r="C30" s="40" t="s">
        <v>260</v>
      </c>
      <c r="D30" s="40" t="s">
        <v>231</v>
      </c>
      <c r="E30" s="81" t="s">
        <v>365</v>
      </c>
      <c r="F30" s="5">
        <v>903</v>
      </c>
      <c r="G30" s="6">
        <f>'Пр.4 ведом.20'!G461</f>
        <v>630</v>
      </c>
      <c r="H30" s="6">
        <f>'Пр.4 ведом.20'!H461</f>
        <v>231.15</v>
      </c>
      <c r="I30" s="6">
        <f t="shared" si="1"/>
        <v>36.69047619047619</v>
      </c>
    </row>
    <row r="31" spans="1:9" ht="31.5" x14ac:dyDescent="0.25">
      <c r="A31" s="25" t="s">
        <v>1149</v>
      </c>
      <c r="B31" s="20" t="s">
        <v>984</v>
      </c>
      <c r="C31" s="40"/>
      <c r="D31" s="40"/>
      <c r="E31" s="40"/>
      <c r="F31" s="5"/>
      <c r="G31" s="6">
        <f>G32</f>
        <v>210</v>
      </c>
      <c r="H31" s="6">
        <f t="shared" ref="H31:H35" si="4">H32</f>
        <v>0</v>
      </c>
      <c r="I31" s="6">
        <f t="shared" si="1"/>
        <v>0</v>
      </c>
    </row>
    <row r="32" spans="1:9" s="217" customFormat="1" ht="15.75" x14ac:dyDescent="0.25">
      <c r="A32" s="80" t="s">
        <v>259</v>
      </c>
      <c r="B32" s="20" t="s">
        <v>984</v>
      </c>
      <c r="C32" s="40" t="s">
        <v>260</v>
      </c>
      <c r="D32" s="40"/>
      <c r="E32" s="40"/>
      <c r="F32" s="5"/>
      <c r="G32" s="6">
        <f>G33</f>
        <v>210</v>
      </c>
      <c r="H32" s="6">
        <f t="shared" si="4"/>
        <v>0</v>
      </c>
      <c r="I32" s="6">
        <f t="shared" si="1"/>
        <v>0</v>
      </c>
    </row>
    <row r="33" spans="1:9" ht="31.5" x14ac:dyDescent="0.25">
      <c r="A33" s="29" t="s">
        <v>268</v>
      </c>
      <c r="B33" s="20" t="s">
        <v>984</v>
      </c>
      <c r="C33" s="40" t="s">
        <v>260</v>
      </c>
      <c r="D33" s="40" t="s">
        <v>231</v>
      </c>
      <c r="E33" s="40"/>
      <c r="F33" s="5"/>
      <c r="G33" s="6">
        <f>G34</f>
        <v>210</v>
      </c>
      <c r="H33" s="6">
        <f t="shared" si="4"/>
        <v>0</v>
      </c>
      <c r="I33" s="6">
        <f t="shared" si="1"/>
        <v>0</v>
      </c>
    </row>
    <row r="34" spans="1:9" ht="31.5" x14ac:dyDescent="0.25">
      <c r="A34" s="29" t="s">
        <v>264</v>
      </c>
      <c r="B34" s="20" t="s">
        <v>984</v>
      </c>
      <c r="C34" s="40" t="s">
        <v>260</v>
      </c>
      <c r="D34" s="40" t="s">
        <v>231</v>
      </c>
      <c r="E34" s="40" t="s">
        <v>265</v>
      </c>
      <c r="F34" s="5"/>
      <c r="G34" s="6">
        <f>G35</f>
        <v>210</v>
      </c>
      <c r="H34" s="6">
        <f t="shared" si="4"/>
        <v>0</v>
      </c>
      <c r="I34" s="6">
        <f t="shared" si="1"/>
        <v>0</v>
      </c>
    </row>
    <row r="35" spans="1:9" ht="47.25" x14ac:dyDescent="0.25">
      <c r="A35" s="29" t="s">
        <v>364</v>
      </c>
      <c r="B35" s="20" t="s">
        <v>984</v>
      </c>
      <c r="C35" s="40" t="s">
        <v>260</v>
      </c>
      <c r="D35" s="40" t="s">
        <v>231</v>
      </c>
      <c r="E35" s="40" t="s">
        <v>365</v>
      </c>
      <c r="F35" s="5"/>
      <c r="G35" s="6">
        <f>G36</f>
        <v>210</v>
      </c>
      <c r="H35" s="6">
        <f t="shared" si="4"/>
        <v>0</v>
      </c>
      <c r="I35" s="6">
        <f t="shared" si="1"/>
        <v>0</v>
      </c>
    </row>
    <row r="36" spans="1:9" s="217" customFormat="1" ht="78.75" x14ac:dyDescent="0.25">
      <c r="A36" s="45" t="s">
        <v>675</v>
      </c>
      <c r="B36" s="20" t="s">
        <v>984</v>
      </c>
      <c r="C36" s="40" t="s">
        <v>260</v>
      </c>
      <c r="D36" s="40" t="s">
        <v>231</v>
      </c>
      <c r="E36" s="40" t="s">
        <v>365</v>
      </c>
      <c r="F36" s="5">
        <v>903</v>
      </c>
      <c r="G36" s="6">
        <f>'Пр.4 ведом.20'!G467</f>
        <v>210</v>
      </c>
      <c r="H36" s="6">
        <f>'Пр.4 ведом.20'!H467</f>
        <v>0</v>
      </c>
      <c r="I36" s="6">
        <f t="shared" si="1"/>
        <v>0</v>
      </c>
    </row>
    <row r="37" spans="1:9" s="217" customFormat="1" ht="63" x14ac:dyDescent="0.25">
      <c r="A37" s="25" t="s">
        <v>1207</v>
      </c>
      <c r="B37" s="20" t="s">
        <v>985</v>
      </c>
      <c r="C37" s="40"/>
      <c r="D37" s="40"/>
      <c r="E37" s="40"/>
      <c r="F37" s="5"/>
      <c r="G37" s="6">
        <f>G38</f>
        <v>250</v>
      </c>
      <c r="H37" s="6">
        <f t="shared" ref="H37:H40" si="5">H38</f>
        <v>84</v>
      </c>
      <c r="I37" s="6">
        <f t="shared" si="1"/>
        <v>33.6</v>
      </c>
    </row>
    <row r="38" spans="1:9" s="217" customFormat="1" ht="15.75" x14ac:dyDescent="0.25">
      <c r="A38" s="80" t="s">
        <v>259</v>
      </c>
      <c r="B38" s="20" t="s">
        <v>985</v>
      </c>
      <c r="C38" s="40" t="s">
        <v>260</v>
      </c>
      <c r="D38" s="40"/>
      <c r="E38" s="40"/>
      <c r="F38" s="5"/>
      <c r="G38" s="6">
        <f>G39</f>
        <v>250</v>
      </c>
      <c r="H38" s="6">
        <f t="shared" si="5"/>
        <v>84</v>
      </c>
      <c r="I38" s="6">
        <f t="shared" si="1"/>
        <v>33.6</v>
      </c>
    </row>
    <row r="39" spans="1:9" ht="31.5" x14ac:dyDescent="0.25">
      <c r="A39" s="29" t="s">
        <v>268</v>
      </c>
      <c r="B39" s="20" t="s">
        <v>985</v>
      </c>
      <c r="C39" s="40" t="s">
        <v>260</v>
      </c>
      <c r="D39" s="40" t="s">
        <v>231</v>
      </c>
      <c r="E39" s="40"/>
      <c r="F39" s="5">
        <v>903</v>
      </c>
      <c r="G39" s="6">
        <f>G40</f>
        <v>250</v>
      </c>
      <c r="H39" s="6">
        <f t="shared" si="5"/>
        <v>84</v>
      </c>
      <c r="I39" s="6">
        <f t="shared" si="1"/>
        <v>33.6</v>
      </c>
    </row>
    <row r="40" spans="1:9" ht="31.5" x14ac:dyDescent="0.25">
      <c r="A40" s="29" t="s">
        <v>264</v>
      </c>
      <c r="B40" s="20" t="s">
        <v>985</v>
      </c>
      <c r="C40" s="40" t="s">
        <v>260</v>
      </c>
      <c r="D40" s="40" t="s">
        <v>231</v>
      </c>
      <c r="E40" s="40" t="s">
        <v>265</v>
      </c>
      <c r="F40" s="5">
        <v>903</v>
      </c>
      <c r="G40" s="6">
        <f>G41</f>
        <v>250</v>
      </c>
      <c r="H40" s="6">
        <f t="shared" si="5"/>
        <v>84</v>
      </c>
      <c r="I40" s="6">
        <f t="shared" si="1"/>
        <v>33.6</v>
      </c>
    </row>
    <row r="41" spans="1:9" ht="47.25" x14ac:dyDescent="0.25">
      <c r="A41" s="29" t="s">
        <v>364</v>
      </c>
      <c r="B41" s="20" t="s">
        <v>985</v>
      </c>
      <c r="C41" s="40" t="s">
        <v>260</v>
      </c>
      <c r="D41" s="40" t="s">
        <v>231</v>
      </c>
      <c r="E41" s="40" t="s">
        <v>365</v>
      </c>
      <c r="F41" s="5">
        <v>903</v>
      </c>
      <c r="G41" s="6">
        <f>'Пр.4 ведом.20'!G472</f>
        <v>250</v>
      </c>
      <c r="H41" s="6">
        <f>'Пр.4 ведом.20'!H472</f>
        <v>84</v>
      </c>
      <c r="I41" s="6">
        <f t="shared" si="1"/>
        <v>33.6</v>
      </c>
    </row>
    <row r="42" spans="1:9" s="217" customFormat="1" ht="78.75" x14ac:dyDescent="0.25">
      <c r="A42" s="45" t="s">
        <v>675</v>
      </c>
      <c r="B42" s="20" t="s">
        <v>985</v>
      </c>
      <c r="C42" s="40" t="s">
        <v>260</v>
      </c>
      <c r="D42" s="40" t="s">
        <v>231</v>
      </c>
      <c r="E42" s="40" t="s">
        <v>365</v>
      </c>
      <c r="F42" s="5">
        <v>903</v>
      </c>
      <c r="G42" s="6">
        <f>'Пр.4 ведом.20'!G472</f>
        <v>250</v>
      </c>
      <c r="H42" s="6">
        <f>'Пр.4 ведом.20'!H472</f>
        <v>84</v>
      </c>
      <c r="I42" s="6">
        <f t="shared" si="1"/>
        <v>33.6</v>
      </c>
    </row>
    <row r="43" spans="1:9" ht="15.75" x14ac:dyDescent="0.25">
      <c r="A43" s="41" t="s">
        <v>674</v>
      </c>
      <c r="B43" s="256"/>
      <c r="C43" s="256"/>
      <c r="D43" s="256"/>
      <c r="E43" s="256"/>
      <c r="F43" s="41"/>
      <c r="G43" s="59">
        <f>G13+G19+G25+G31+G37</f>
        <v>1535</v>
      </c>
      <c r="H43" s="347">
        <f t="shared" ref="H43" si="6">H13+H19+H25+H31+H37</f>
        <v>445.15</v>
      </c>
      <c r="I43" s="4">
        <f t="shared" si="1"/>
        <v>28.999999999999996</v>
      </c>
    </row>
  </sheetData>
  <mergeCells count="2">
    <mergeCell ref="A1:C2"/>
    <mergeCell ref="A8:I9"/>
  </mergeCells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opLeftCell="A25" workbookViewId="0">
      <selection activeCell="G9" sqref="G9:H39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396"/>
      <c r="B1" s="396"/>
      <c r="C1" s="396"/>
      <c r="D1" s="62"/>
      <c r="E1" s="62"/>
      <c r="F1" s="218"/>
      <c r="G1" s="218"/>
      <c r="H1" s="245" t="s">
        <v>1282</v>
      </c>
      <c r="I1" s="218"/>
    </row>
    <row r="2" spans="1:9" ht="15.75" x14ac:dyDescent="0.25">
      <c r="A2" s="396"/>
      <c r="B2" s="396"/>
      <c r="C2" s="396"/>
      <c r="D2" s="62"/>
      <c r="E2" s="62"/>
      <c r="F2" s="218"/>
      <c r="G2" s="218"/>
      <c r="H2" s="245" t="s">
        <v>1</v>
      </c>
      <c r="I2" s="218"/>
    </row>
    <row r="3" spans="1:9" ht="15.75" x14ac:dyDescent="0.25">
      <c r="A3" s="62"/>
      <c r="B3" s="62"/>
      <c r="C3" s="62"/>
      <c r="D3" s="62"/>
      <c r="E3" s="62"/>
      <c r="F3" s="62"/>
      <c r="G3" s="62"/>
      <c r="H3" s="130" t="s">
        <v>1467</v>
      </c>
      <c r="I3" s="218"/>
    </row>
    <row r="4" spans="1:9" s="217" customFormat="1" ht="15.75" x14ac:dyDescent="0.25">
      <c r="A4" s="62"/>
      <c r="B4" s="62"/>
      <c r="C4" s="62"/>
      <c r="D4" s="62"/>
      <c r="E4" s="62"/>
      <c r="F4" s="62"/>
      <c r="G4" s="62"/>
      <c r="H4" s="130"/>
      <c r="I4" s="218"/>
    </row>
    <row r="5" spans="1:9" ht="39.200000000000003" customHeight="1" x14ac:dyDescent="0.25">
      <c r="A5" s="391" t="s">
        <v>1355</v>
      </c>
      <c r="B5" s="391"/>
      <c r="C5" s="391"/>
      <c r="D5" s="391"/>
      <c r="E5" s="391"/>
      <c r="F5" s="391"/>
      <c r="G5" s="391"/>
      <c r="H5" s="391"/>
      <c r="I5" s="218"/>
    </row>
    <row r="6" spans="1:9" ht="16.5" x14ac:dyDescent="0.25">
      <c r="A6" s="255"/>
      <c r="B6" s="255"/>
      <c r="C6" s="255"/>
      <c r="D6" s="255"/>
      <c r="E6" s="255"/>
      <c r="F6" s="255"/>
      <c r="G6" s="255"/>
      <c r="H6" s="218"/>
      <c r="I6" s="218"/>
    </row>
    <row r="7" spans="1:9" ht="15.75" x14ac:dyDescent="0.25">
      <c r="A7" s="62"/>
      <c r="B7" s="62"/>
      <c r="C7" s="62"/>
      <c r="D7" s="62"/>
      <c r="E7" s="62"/>
      <c r="F7" s="64"/>
      <c r="G7" s="218"/>
      <c r="H7" s="65" t="s">
        <v>2</v>
      </c>
      <c r="I7" s="218"/>
    </row>
    <row r="8" spans="1:9" ht="47.25" x14ac:dyDescent="0.25">
      <c r="A8" s="66" t="s">
        <v>609</v>
      </c>
      <c r="B8" s="66" t="s">
        <v>1294</v>
      </c>
      <c r="C8" s="66" t="s">
        <v>1292</v>
      </c>
      <c r="D8" s="66" t="s">
        <v>129</v>
      </c>
      <c r="E8" s="66" t="s">
        <v>1293</v>
      </c>
      <c r="F8" s="66" t="s">
        <v>127</v>
      </c>
      <c r="G8" s="66" t="s">
        <v>1193</v>
      </c>
      <c r="H8" s="66" t="s">
        <v>1194</v>
      </c>
      <c r="I8" s="218"/>
    </row>
    <row r="9" spans="1:9" ht="68.25" customHeight="1" x14ac:dyDescent="0.25">
      <c r="A9" s="248" t="s">
        <v>1201</v>
      </c>
      <c r="B9" s="20" t="s">
        <v>1222</v>
      </c>
      <c r="C9" s="40"/>
      <c r="D9" s="40"/>
      <c r="E9" s="40"/>
      <c r="F9" s="5"/>
      <c r="G9" s="6">
        <f t="shared" ref="G9:H13" si="0">G10</f>
        <v>25</v>
      </c>
      <c r="H9" s="6">
        <f t="shared" si="0"/>
        <v>25</v>
      </c>
      <c r="I9" s="218"/>
    </row>
    <row r="10" spans="1:9" ht="15.75" x14ac:dyDescent="0.25">
      <c r="A10" s="45" t="s">
        <v>279</v>
      </c>
      <c r="B10" s="20" t="s">
        <v>1222</v>
      </c>
      <c r="C10" s="40" t="s">
        <v>280</v>
      </c>
      <c r="D10" s="40"/>
      <c r="E10" s="207"/>
      <c r="F10" s="5"/>
      <c r="G10" s="6">
        <f t="shared" si="0"/>
        <v>25</v>
      </c>
      <c r="H10" s="6">
        <f t="shared" si="0"/>
        <v>25</v>
      </c>
      <c r="I10" s="218"/>
    </row>
    <row r="11" spans="1:9" ht="31.5" x14ac:dyDescent="0.25">
      <c r="A11" s="45" t="s">
        <v>482</v>
      </c>
      <c r="B11" s="20" t="s">
        <v>1222</v>
      </c>
      <c r="C11" s="40" t="s">
        <v>280</v>
      </c>
      <c r="D11" s="40" t="s">
        <v>280</v>
      </c>
      <c r="E11" s="207"/>
      <c r="F11" s="5"/>
      <c r="G11" s="6">
        <f t="shared" si="0"/>
        <v>25</v>
      </c>
      <c r="H11" s="6">
        <f t="shared" si="0"/>
        <v>25</v>
      </c>
      <c r="I11" s="218"/>
    </row>
    <row r="12" spans="1:9" ht="31.5" x14ac:dyDescent="0.25">
      <c r="A12" s="29" t="s">
        <v>264</v>
      </c>
      <c r="B12" s="20" t="s">
        <v>1222</v>
      </c>
      <c r="C12" s="40" t="s">
        <v>280</v>
      </c>
      <c r="D12" s="40" t="s">
        <v>280</v>
      </c>
      <c r="E12" s="40" t="s">
        <v>265</v>
      </c>
      <c r="F12" s="5"/>
      <c r="G12" s="6">
        <f t="shared" si="0"/>
        <v>25</v>
      </c>
      <c r="H12" s="6">
        <f t="shared" si="0"/>
        <v>25</v>
      </c>
      <c r="I12" s="218"/>
    </row>
    <row r="13" spans="1:9" ht="31.5" x14ac:dyDescent="0.25">
      <c r="A13" s="29" t="s">
        <v>364</v>
      </c>
      <c r="B13" s="20" t="s">
        <v>1222</v>
      </c>
      <c r="C13" s="40" t="s">
        <v>280</v>
      </c>
      <c r="D13" s="40" t="s">
        <v>280</v>
      </c>
      <c r="E13" s="40" t="s">
        <v>365</v>
      </c>
      <c r="F13" s="5"/>
      <c r="G13" s="6">
        <f t="shared" si="0"/>
        <v>25</v>
      </c>
      <c r="H13" s="6">
        <f t="shared" si="0"/>
        <v>25</v>
      </c>
      <c r="I13" s="218"/>
    </row>
    <row r="14" spans="1:9" ht="47.25" x14ac:dyDescent="0.25">
      <c r="A14" s="45" t="s">
        <v>675</v>
      </c>
      <c r="B14" s="20" t="s">
        <v>1222</v>
      </c>
      <c r="C14" s="40" t="s">
        <v>280</v>
      </c>
      <c r="D14" s="40" t="s">
        <v>280</v>
      </c>
      <c r="E14" s="40" t="s">
        <v>365</v>
      </c>
      <c r="F14" s="5">
        <v>903</v>
      </c>
      <c r="G14" s="6">
        <f>'пр.5.1.ведом.21-22'!G340</f>
        <v>25</v>
      </c>
      <c r="H14" s="6">
        <f>'пр.5.1.ведом.21-22'!H340</f>
        <v>25</v>
      </c>
      <c r="I14" s="218"/>
    </row>
    <row r="15" spans="1:9" ht="31.5" x14ac:dyDescent="0.25">
      <c r="A15" s="25" t="s">
        <v>1203</v>
      </c>
      <c r="B15" s="20" t="s">
        <v>979</v>
      </c>
      <c r="C15" s="40"/>
      <c r="D15" s="40"/>
      <c r="E15" s="40"/>
      <c r="F15" s="5"/>
      <c r="G15" s="6">
        <f t="shared" ref="G15:H19" si="1">G16</f>
        <v>420</v>
      </c>
      <c r="H15" s="6">
        <f t="shared" si="1"/>
        <v>420</v>
      </c>
      <c r="I15" s="218"/>
    </row>
    <row r="16" spans="1:9" ht="15.75" x14ac:dyDescent="0.25">
      <c r="A16" s="25" t="s">
        <v>1281</v>
      </c>
      <c r="B16" s="20" t="s">
        <v>979</v>
      </c>
      <c r="C16" s="40" t="s">
        <v>260</v>
      </c>
      <c r="D16" s="40"/>
      <c r="E16" s="40"/>
      <c r="F16" s="5"/>
      <c r="G16" s="6">
        <f t="shared" si="1"/>
        <v>420</v>
      </c>
      <c r="H16" s="6">
        <f t="shared" si="1"/>
        <v>420</v>
      </c>
      <c r="I16" s="218"/>
    </row>
    <row r="17" spans="1:9" ht="15.75" x14ac:dyDescent="0.25">
      <c r="A17" s="29" t="s">
        <v>268</v>
      </c>
      <c r="B17" s="20" t="s">
        <v>979</v>
      </c>
      <c r="C17" s="40" t="s">
        <v>260</v>
      </c>
      <c r="D17" s="40" t="s">
        <v>231</v>
      </c>
      <c r="E17" s="40"/>
      <c r="F17" s="5"/>
      <c r="G17" s="6">
        <f t="shared" si="1"/>
        <v>420</v>
      </c>
      <c r="H17" s="6">
        <f t="shared" si="1"/>
        <v>420</v>
      </c>
      <c r="I17" s="218"/>
    </row>
    <row r="18" spans="1:9" ht="31.5" x14ac:dyDescent="0.25">
      <c r="A18" s="25" t="s">
        <v>264</v>
      </c>
      <c r="B18" s="20" t="s">
        <v>979</v>
      </c>
      <c r="C18" s="40" t="s">
        <v>260</v>
      </c>
      <c r="D18" s="40" t="s">
        <v>231</v>
      </c>
      <c r="E18" s="40" t="s">
        <v>265</v>
      </c>
      <c r="F18" s="5"/>
      <c r="G18" s="6">
        <f t="shared" si="1"/>
        <v>420</v>
      </c>
      <c r="H18" s="6">
        <f t="shared" si="1"/>
        <v>420</v>
      </c>
      <c r="I18" s="218"/>
    </row>
    <row r="19" spans="1:9" ht="31.5" x14ac:dyDescent="0.25">
      <c r="A19" s="25" t="s">
        <v>364</v>
      </c>
      <c r="B19" s="20" t="s">
        <v>979</v>
      </c>
      <c r="C19" s="40" t="s">
        <v>260</v>
      </c>
      <c r="D19" s="40" t="s">
        <v>231</v>
      </c>
      <c r="E19" s="40" t="s">
        <v>365</v>
      </c>
      <c r="F19" s="5"/>
      <c r="G19" s="6">
        <f t="shared" si="1"/>
        <v>420</v>
      </c>
      <c r="H19" s="6">
        <f t="shared" si="1"/>
        <v>420</v>
      </c>
      <c r="I19" s="218"/>
    </row>
    <row r="20" spans="1:9" ht="47.25" x14ac:dyDescent="0.25">
      <c r="A20" s="45" t="s">
        <v>675</v>
      </c>
      <c r="B20" s="20" t="s">
        <v>979</v>
      </c>
      <c r="C20" s="40" t="s">
        <v>260</v>
      </c>
      <c r="D20" s="40" t="s">
        <v>231</v>
      </c>
      <c r="E20" s="40" t="s">
        <v>365</v>
      </c>
      <c r="F20" s="5">
        <v>903</v>
      </c>
      <c r="G20" s="6">
        <f>'пр.5.1.ведом.21-22'!G456</f>
        <v>420</v>
      </c>
      <c r="H20" s="6">
        <f>'пр.5.1.ведом.21-22'!H456</f>
        <v>420</v>
      </c>
      <c r="I20" s="218"/>
    </row>
    <row r="21" spans="1:9" ht="63" x14ac:dyDescent="0.25">
      <c r="A21" s="99" t="s">
        <v>1206</v>
      </c>
      <c r="B21" s="20" t="s">
        <v>982</v>
      </c>
      <c r="C21" s="40"/>
      <c r="D21" s="40"/>
      <c r="E21" s="40"/>
      <c r="F21" s="5"/>
      <c r="G21" s="6">
        <f t="shared" ref="G21:H25" si="2">G22</f>
        <v>630</v>
      </c>
      <c r="H21" s="6">
        <f t="shared" si="2"/>
        <v>630</v>
      </c>
      <c r="I21" s="218"/>
    </row>
    <row r="22" spans="1:9" ht="15.75" x14ac:dyDescent="0.25">
      <c r="A22" s="80" t="s">
        <v>259</v>
      </c>
      <c r="B22" s="20" t="s">
        <v>982</v>
      </c>
      <c r="C22" s="9" t="s">
        <v>260</v>
      </c>
      <c r="D22" s="9"/>
      <c r="E22" s="9"/>
      <c r="F22" s="9"/>
      <c r="G22" s="10">
        <f t="shared" si="2"/>
        <v>630</v>
      </c>
      <c r="H22" s="10">
        <f t="shared" si="2"/>
        <v>630</v>
      </c>
      <c r="I22" s="218"/>
    </row>
    <row r="23" spans="1:9" ht="15.75" x14ac:dyDescent="0.25">
      <c r="A23" s="29" t="s">
        <v>268</v>
      </c>
      <c r="B23" s="20" t="s">
        <v>982</v>
      </c>
      <c r="C23" s="40" t="s">
        <v>260</v>
      </c>
      <c r="D23" s="40" t="s">
        <v>231</v>
      </c>
      <c r="E23" s="40"/>
      <c r="F23" s="5"/>
      <c r="G23" s="6">
        <f t="shared" si="2"/>
        <v>630</v>
      </c>
      <c r="H23" s="6">
        <f t="shared" si="2"/>
        <v>630</v>
      </c>
      <c r="I23" s="218"/>
    </row>
    <row r="24" spans="1:9" ht="31.5" x14ac:dyDescent="0.25">
      <c r="A24" s="29" t="s">
        <v>264</v>
      </c>
      <c r="B24" s="20" t="s">
        <v>982</v>
      </c>
      <c r="C24" s="40" t="s">
        <v>260</v>
      </c>
      <c r="D24" s="40" t="s">
        <v>231</v>
      </c>
      <c r="E24" s="40" t="s">
        <v>265</v>
      </c>
      <c r="F24" s="5"/>
      <c r="G24" s="6">
        <f t="shared" si="2"/>
        <v>630</v>
      </c>
      <c r="H24" s="6">
        <f t="shared" si="2"/>
        <v>630</v>
      </c>
      <c r="I24" s="218"/>
    </row>
    <row r="25" spans="1:9" ht="31.5" x14ac:dyDescent="0.25">
      <c r="A25" s="29" t="s">
        <v>364</v>
      </c>
      <c r="B25" s="20" t="s">
        <v>982</v>
      </c>
      <c r="C25" s="40" t="s">
        <v>260</v>
      </c>
      <c r="D25" s="40" t="s">
        <v>231</v>
      </c>
      <c r="E25" s="81" t="s">
        <v>365</v>
      </c>
      <c r="F25" s="5"/>
      <c r="G25" s="6">
        <f t="shared" si="2"/>
        <v>630</v>
      </c>
      <c r="H25" s="6">
        <f t="shared" si="2"/>
        <v>630</v>
      </c>
      <c r="I25" s="218"/>
    </row>
    <row r="26" spans="1:9" ht="47.25" x14ac:dyDescent="0.25">
      <c r="A26" s="45" t="s">
        <v>675</v>
      </c>
      <c r="B26" s="20" t="s">
        <v>982</v>
      </c>
      <c r="C26" s="40" t="s">
        <v>260</v>
      </c>
      <c r="D26" s="40" t="s">
        <v>231</v>
      </c>
      <c r="E26" s="81" t="s">
        <v>365</v>
      </c>
      <c r="F26" s="5">
        <v>903</v>
      </c>
      <c r="G26" s="6">
        <f>'пр.5.1.ведом.21-22'!G461</f>
        <v>630</v>
      </c>
      <c r="H26" s="6">
        <f>'пр.5.1.ведом.21-22'!H461</f>
        <v>630</v>
      </c>
      <c r="I26" s="218"/>
    </row>
    <row r="27" spans="1:9" ht="31.5" x14ac:dyDescent="0.25">
      <c r="A27" s="25" t="s">
        <v>1149</v>
      </c>
      <c r="B27" s="20" t="s">
        <v>984</v>
      </c>
      <c r="C27" s="40"/>
      <c r="D27" s="40"/>
      <c r="E27" s="40"/>
      <c r="F27" s="5"/>
      <c r="G27" s="6">
        <f t="shared" ref="G27:H31" si="3">G28</f>
        <v>210</v>
      </c>
      <c r="H27" s="6">
        <f t="shared" si="3"/>
        <v>210</v>
      </c>
      <c r="I27" s="218"/>
    </row>
    <row r="28" spans="1:9" ht="15.75" x14ac:dyDescent="0.25">
      <c r="A28" s="80" t="s">
        <v>259</v>
      </c>
      <c r="B28" s="20" t="s">
        <v>984</v>
      </c>
      <c r="C28" s="40" t="s">
        <v>260</v>
      </c>
      <c r="D28" s="40"/>
      <c r="E28" s="40"/>
      <c r="F28" s="5"/>
      <c r="G28" s="6">
        <f t="shared" si="3"/>
        <v>210</v>
      </c>
      <c r="H28" s="6">
        <f t="shared" si="3"/>
        <v>210</v>
      </c>
      <c r="I28" s="218"/>
    </row>
    <row r="29" spans="1:9" ht="15.75" x14ac:dyDescent="0.25">
      <c r="A29" s="29" t="s">
        <v>268</v>
      </c>
      <c r="B29" s="20" t="s">
        <v>984</v>
      </c>
      <c r="C29" s="40" t="s">
        <v>260</v>
      </c>
      <c r="D29" s="40" t="s">
        <v>231</v>
      </c>
      <c r="E29" s="40"/>
      <c r="F29" s="5"/>
      <c r="G29" s="6">
        <f t="shared" si="3"/>
        <v>210</v>
      </c>
      <c r="H29" s="6">
        <f t="shared" si="3"/>
        <v>210</v>
      </c>
      <c r="I29" s="218"/>
    </row>
    <row r="30" spans="1:9" ht="31.5" x14ac:dyDescent="0.25">
      <c r="A30" s="29" t="s">
        <v>264</v>
      </c>
      <c r="B30" s="20" t="s">
        <v>984</v>
      </c>
      <c r="C30" s="40" t="s">
        <v>260</v>
      </c>
      <c r="D30" s="40" t="s">
        <v>231</v>
      </c>
      <c r="E30" s="40" t="s">
        <v>265</v>
      </c>
      <c r="F30" s="5"/>
      <c r="G30" s="6">
        <f t="shared" si="3"/>
        <v>210</v>
      </c>
      <c r="H30" s="6">
        <f t="shared" si="3"/>
        <v>210</v>
      </c>
      <c r="I30" s="218"/>
    </row>
    <row r="31" spans="1:9" ht="31.5" x14ac:dyDescent="0.25">
      <c r="A31" s="29" t="s">
        <v>364</v>
      </c>
      <c r="B31" s="20" t="s">
        <v>984</v>
      </c>
      <c r="C31" s="40" t="s">
        <v>260</v>
      </c>
      <c r="D31" s="40" t="s">
        <v>231</v>
      </c>
      <c r="E31" s="40" t="s">
        <v>365</v>
      </c>
      <c r="F31" s="5"/>
      <c r="G31" s="6">
        <f t="shared" si="3"/>
        <v>210</v>
      </c>
      <c r="H31" s="6">
        <f t="shared" si="3"/>
        <v>210</v>
      </c>
      <c r="I31" s="218"/>
    </row>
    <row r="32" spans="1:9" ht="47.25" x14ac:dyDescent="0.25">
      <c r="A32" s="45" t="s">
        <v>675</v>
      </c>
      <c r="B32" s="20" t="s">
        <v>984</v>
      </c>
      <c r="C32" s="40" t="s">
        <v>260</v>
      </c>
      <c r="D32" s="40" t="s">
        <v>231</v>
      </c>
      <c r="E32" s="40" t="s">
        <v>365</v>
      </c>
      <c r="F32" s="5">
        <v>903</v>
      </c>
      <c r="G32" s="6">
        <f>'пр.5.1.ведом.21-22'!G467</f>
        <v>210</v>
      </c>
      <c r="H32" s="6">
        <f>'пр.5.1.ведом.21-22'!H467</f>
        <v>210</v>
      </c>
      <c r="I32" s="218"/>
    </row>
    <row r="33" spans="1:9" ht="63" x14ac:dyDescent="0.25">
      <c r="A33" s="25" t="s">
        <v>1207</v>
      </c>
      <c r="B33" s="20" t="s">
        <v>985</v>
      </c>
      <c r="C33" s="40"/>
      <c r="D33" s="40"/>
      <c r="E33" s="40"/>
      <c r="F33" s="5"/>
      <c r="G33" s="6">
        <f t="shared" ref="G33:H36" si="4">G34</f>
        <v>84</v>
      </c>
      <c r="H33" s="6">
        <f t="shared" si="4"/>
        <v>33.6</v>
      </c>
      <c r="I33" s="218"/>
    </row>
    <row r="34" spans="1:9" ht="15.75" x14ac:dyDescent="0.25">
      <c r="A34" s="80" t="s">
        <v>259</v>
      </c>
      <c r="B34" s="20" t="s">
        <v>985</v>
      </c>
      <c r="C34" s="40" t="s">
        <v>260</v>
      </c>
      <c r="D34" s="40"/>
      <c r="E34" s="40"/>
      <c r="F34" s="5"/>
      <c r="G34" s="6">
        <f t="shared" si="4"/>
        <v>84</v>
      </c>
      <c r="H34" s="6">
        <f t="shared" si="4"/>
        <v>33.6</v>
      </c>
      <c r="I34" s="218"/>
    </row>
    <row r="35" spans="1:9" ht="15.75" x14ac:dyDescent="0.25">
      <c r="A35" s="29" t="s">
        <v>268</v>
      </c>
      <c r="B35" s="20" t="s">
        <v>985</v>
      </c>
      <c r="C35" s="40" t="s">
        <v>260</v>
      </c>
      <c r="D35" s="40" t="s">
        <v>231</v>
      </c>
      <c r="E35" s="40"/>
      <c r="F35" s="5">
        <v>903</v>
      </c>
      <c r="G35" s="6">
        <f t="shared" si="4"/>
        <v>84</v>
      </c>
      <c r="H35" s="6">
        <f t="shared" si="4"/>
        <v>33.6</v>
      </c>
      <c r="I35" s="218"/>
    </row>
    <row r="36" spans="1:9" ht="31.5" x14ac:dyDescent="0.25">
      <c r="A36" s="29" t="s">
        <v>264</v>
      </c>
      <c r="B36" s="20" t="s">
        <v>985</v>
      </c>
      <c r="C36" s="40" t="s">
        <v>260</v>
      </c>
      <c r="D36" s="40" t="s">
        <v>231</v>
      </c>
      <c r="E36" s="40" t="s">
        <v>265</v>
      </c>
      <c r="F36" s="5">
        <v>903</v>
      </c>
      <c r="G36" s="6">
        <f t="shared" si="4"/>
        <v>84</v>
      </c>
      <c r="H36" s="6">
        <f t="shared" si="4"/>
        <v>33.6</v>
      </c>
      <c r="I36" s="218"/>
    </row>
    <row r="37" spans="1:9" ht="31.5" x14ac:dyDescent="0.25">
      <c r="A37" s="29" t="s">
        <v>364</v>
      </c>
      <c r="B37" s="20" t="s">
        <v>985</v>
      </c>
      <c r="C37" s="40" t="s">
        <v>260</v>
      </c>
      <c r="D37" s="40" t="s">
        <v>231</v>
      </c>
      <c r="E37" s="40" t="s">
        <v>365</v>
      </c>
      <c r="F37" s="5">
        <v>903</v>
      </c>
      <c r="G37" s="6">
        <f>'Пр.4 ведом.20'!H472</f>
        <v>84</v>
      </c>
      <c r="H37" s="6">
        <f>'Пр.4 ведом.20'!I472</f>
        <v>33.6</v>
      </c>
      <c r="I37" s="218"/>
    </row>
    <row r="38" spans="1:9" ht="47.25" x14ac:dyDescent="0.25">
      <c r="A38" s="45" t="s">
        <v>675</v>
      </c>
      <c r="B38" s="20" t="s">
        <v>985</v>
      </c>
      <c r="C38" s="40" t="s">
        <v>260</v>
      </c>
      <c r="D38" s="40" t="s">
        <v>231</v>
      </c>
      <c r="E38" s="40" t="s">
        <v>365</v>
      </c>
      <c r="F38" s="5">
        <v>903</v>
      </c>
      <c r="G38" s="6">
        <f>'пр.5.1.ведом.21-22'!G472</f>
        <v>250</v>
      </c>
      <c r="H38" s="6">
        <f>'пр.5.1.ведом.21-22'!H472</f>
        <v>250</v>
      </c>
      <c r="I38" s="218"/>
    </row>
    <row r="39" spans="1:9" ht="15.75" x14ac:dyDescent="0.25">
      <c r="A39" s="41" t="s">
        <v>674</v>
      </c>
      <c r="B39" s="256"/>
      <c r="C39" s="256"/>
      <c r="D39" s="256"/>
      <c r="E39" s="256"/>
      <c r="F39" s="41"/>
      <c r="G39" s="59">
        <f>G9+G15+G21+G27+G33</f>
        <v>1369</v>
      </c>
      <c r="H39" s="59">
        <f>H9+H15+H21+H27+H33</f>
        <v>1318.6</v>
      </c>
      <c r="I39" s="218"/>
    </row>
  </sheetData>
  <mergeCells count="2">
    <mergeCell ref="A1:C2"/>
    <mergeCell ref="A5:H5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93" zoomScaleNormal="100" zoomScaleSheetLayoutView="93" workbookViewId="0">
      <selection activeCell="D1" sqref="D1"/>
    </sheetView>
  </sheetViews>
  <sheetFormatPr defaultRowHeight="15" x14ac:dyDescent="0.25"/>
  <cols>
    <col min="1" max="1" width="34" customWidth="1"/>
    <col min="2" max="2" width="51.7109375" customWidth="1"/>
    <col min="3" max="3" width="18.7109375" customWidth="1"/>
    <col min="4" max="5" width="18.7109375" style="331" customWidth="1"/>
  </cols>
  <sheetData>
    <row r="1" spans="1:5" ht="15.75" x14ac:dyDescent="0.25">
      <c r="A1" s="12"/>
      <c r="C1" s="212"/>
      <c r="D1" s="378" t="s">
        <v>1545</v>
      </c>
      <c r="E1" s="130"/>
    </row>
    <row r="2" spans="1:5" ht="15.75" x14ac:dyDescent="0.25">
      <c r="A2" s="12"/>
      <c r="B2" s="12"/>
      <c r="C2" s="212"/>
      <c r="D2" s="378" t="s">
        <v>1552</v>
      </c>
      <c r="E2" s="130"/>
    </row>
    <row r="3" spans="1:5" ht="15.75" x14ac:dyDescent="0.25">
      <c r="A3" s="12"/>
      <c r="B3" s="12"/>
      <c r="C3" s="363"/>
      <c r="D3" s="379" t="s">
        <v>1579</v>
      </c>
      <c r="E3" s="366"/>
    </row>
    <row r="4" spans="1:5" s="331" customFormat="1" ht="15.75" x14ac:dyDescent="0.25">
      <c r="A4" s="12"/>
      <c r="B4" s="12"/>
      <c r="C4" s="363"/>
      <c r="D4" s="379" t="s">
        <v>1580</v>
      </c>
      <c r="E4" s="366"/>
    </row>
    <row r="5" spans="1:5" s="331" customFormat="1" ht="15.75" x14ac:dyDescent="0.25">
      <c r="A5" s="12"/>
      <c r="B5" s="12"/>
      <c r="C5" s="363"/>
      <c r="D5" s="379" t="s">
        <v>1581</v>
      </c>
      <c r="E5" s="366"/>
    </row>
    <row r="6" spans="1:5" s="331" customFormat="1" ht="15.75" x14ac:dyDescent="0.25">
      <c r="A6" s="12"/>
      <c r="B6" s="12"/>
      <c r="C6" s="363"/>
      <c r="D6" s="363"/>
      <c r="E6" s="363"/>
    </row>
    <row r="7" spans="1:5" ht="16.5" x14ac:dyDescent="0.25">
      <c r="A7" s="397" t="s">
        <v>1578</v>
      </c>
      <c r="B7" s="397"/>
      <c r="C7" s="397"/>
      <c r="D7" s="397"/>
      <c r="E7" s="397"/>
    </row>
    <row r="8" spans="1:5" ht="16.5" x14ac:dyDescent="0.25">
      <c r="A8" s="397" t="s">
        <v>1558</v>
      </c>
      <c r="B8" s="397"/>
      <c r="C8" s="397"/>
      <c r="D8" s="397"/>
      <c r="E8" s="397"/>
    </row>
    <row r="9" spans="1:5" ht="15.75" x14ac:dyDescent="0.25">
      <c r="A9" s="82"/>
      <c r="B9" s="82"/>
    </row>
    <row r="10" spans="1:5" ht="15.75" x14ac:dyDescent="0.25">
      <c r="A10" s="12"/>
      <c r="B10" s="12"/>
      <c r="C10" s="83"/>
      <c r="D10" s="83"/>
      <c r="E10" s="83"/>
    </row>
    <row r="11" spans="1:5" ht="52.5" customHeight="1" x14ac:dyDescent="0.25">
      <c r="A11" s="79" t="s">
        <v>677</v>
      </c>
      <c r="B11" s="79" t="s">
        <v>678</v>
      </c>
      <c r="C11" s="239" t="s">
        <v>1547</v>
      </c>
      <c r="D11" s="215" t="s">
        <v>1548</v>
      </c>
      <c r="E11" s="215" t="s">
        <v>1549</v>
      </c>
    </row>
    <row r="12" spans="1:5" ht="52.5" customHeight="1" x14ac:dyDescent="0.25">
      <c r="A12" s="84" t="s">
        <v>679</v>
      </c>
      <c r="B12" s="85" t="s">
        <v>680</v>
      </c>
      <c r="C12" s="313">
        <f>C13-C15</f>
        <v>16563.742399999988</v>
      </c>
      <c r="D12" s="313">
        <f t="shared" ref="D12" si="0">D13-D15</f>
        <v>1215.2000000000007</v>
      </c>
      <c r="E12" s="313"/>
    </row>
    <row r="13" spans="1:5" ht="31.5" x14ac:dyDescent="0.25">
      <c r="A13" s="86" t="s">
        <v>681</v>
      </c>
      <c r="B13" s="87" t="s">
        <v>682</v>
      </c>
      <c r="C13" s="314">
        <f>C14</f>
        <v>24627.9</v>
      </c>
      <c r="D13" s="314">
        <f t="shared" ref="D13" si="1">D14</f>
        <v>24627.9</v>
      </c>
      <c r="E13" s="314"/>
    </row>
    <row r="14" spans="1:5" ht="31.5" x14ac:dyDescent="0.25">
      <c r="A14" s="88" t="s">
        <v>683</v>
      </c>
      <c r="B14" s="89" t="s">
        <v>684</v>
      </c>
      <c r="C14" s="315">
        <v>24627.9</v>
      </c>
      <c r="D14" s="315">
        <v>24627.9</v>
      </c>
      <c r="E14" s="315"/>
    </row>
    <row r="15" spans="1:5" ht="31.5" x14ac:dyDescent="0.25">
      <c r="A15" s="86" t="s">
        <v>685</v>
      </c>
      <c r="B15" s="87" t="s">
        <v>686</v>
      </c>
      <c r="C15" s="313">
        <f>C16</f>
        <v>8064.1576000000132</v>
      </c>
      <c r="D15" s="313">
        <f t="shared" ref="D15" si="2">D16</f>
        <v>23412.7</v>
      </c>
      <c r="E15" s="313"/>
    </row>
    <row r="16" spans="1:5" ht="31.5" x14ac:dyDescent="0.25">
      <c r="A16" s="88" t="s">
        <v>687</v>
      </c>
      <c r="B16" s="89" t="s">
        <v>688</v>
      </c>
      <c r="C16" s="315">
        <f>C14+C22</f>
        <v>8064.1576000000132</v>
      </c>
      <c r="D16" s="315">
        <v>23412.7</v>
      </c>
      <c r="E16" s="315"/>
    </row>
    <row r="17" spans="1:5" ht="16.5" x14ac:dyDescent="0.25">
      <c r="A17" s="86" t="s">
        <v>674</v>
      </c>
      <c r="B17" s="89"/>
      <c r="C17" s="316">
        <f>C14-C16</f>
        <v>16563.742399999988</v>
      </c>
      <c r="D17" s="316">
        <f t="shared" ref="D17" si="3">D14-D16</f>
        <v>1215.2000000000007</v>
      </c>
      <c r="E17" s="316">
        <f>D17/C17*100</f>
        <v>7.3365062716744589</v>
      </c>
    </row>
    <row r="20" spans="1:5" x14ac:dyDescent="0.25">
      <c r="B20" t="s">
        <v>689</v>
      </c>
      <c r="C20">
        <f>пр.1дох.20!C168</f>
        <v>747787</v>
      </c>
      <c r="D20" s="331">
        <f>пр.1дох.20!D168</f>
        <v>352975.84</v>
      </c>
      <c r="E20" s="331">
        <f>пр.1дох.20!E168</f>
        <v>47.202724840094845</v>
      </c>
    </row>
    <row r="21" spans="1:5" x14ac:dyDescent="0.25">
      <c r="B21" t="s">
        <v>690</v>
      </c>
      <c r="C21" s="22">
        <f>'пр.2 Рд,пр 20'!D51</f>
        <v>764350.74239999999</v>
      </c>
      <c r="D21" s="22">
        <f>'пр.2 Рд,пр 20'!E51</f>
        <v>354191.00000000006</v>
      </c>
      <c r="E21" s="22">
        <f>'пр.2 Рд,пр 20'!F51</f>
        <v>46.338804995186997</v>
      </c>
    </row>
    <row r="22" spans="1:5" x14ac:dyDescent="0.25">
      <c r="B22" t="s">
        <v>691</v>
      </c>
      <c r="C22" s="22">
        <f t="shared" ref="C22:E22" si="4">C20-C21</f>
        <v>-16563.742399999988</v>
      </c>
      <c r="D22" s="22">
        <f t="shared" si="4"/>
        <v>-1215.1600000000326</v>
      </c>
      <c r="E22" s="22">
        <f t="shared" si="4"/>
        <v>0.86391984490784779</v>
      </c>
    </row>
    <row r="25" spans="1:5" x14ac:dyDescent="0.25">
      <c r="D25" s="331">
        <v>1193.2</v>
      </c>
    </row>
  </sheetData>
  <mergeCells count="2">
    <mergeCell ref="A7:E7"/>
    <mergeCell ref="A8:E8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J20" sqref="J20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17"/>
      <c r="D1" s="212" t="s">
        <v>1286</v>
      </c>
    </row>
    <row r="2" spans="1:4" ht="15.75" x14ac:dyDescent="0.25">
      <c r="A2" s="12"/>
      <c r="B2" s="12"/>
      <c r="D2" s="212" t="s">
        <v>1</v>
      </c>
    </row>
    <row r="3" spans="1:4" ht="15.75" x14ac:dyDescent="0.25">
      <c r="A3" s="12"/>
      <c r="B3" s="12"/>
      <c r="C3" s="217"/>
    </row>
    <row r="4" spans="1:4" ht="16.5" x14ac:dyDescent="0.25">
      <c r="A4" s="397" t="s">
        <v>676</v>
      </c>
      <c r="B4" s="397"/>
      <c r="C4" s="397"/>
      <c r="D4" s="397"/>
    </row>
    <row r="5" spans="1:4" ht="16.5" x14ac:dyDescent="0.25">
      <c r="A5" s="397" t="s">
        <v>1285</v>
      </c>
      <c r="B5" s="397"/>
      <c r="C5" s="397"/>
      <c r="D5" s="397"/>
    </row>
    <row r="6" spans="1:4" ht="15.75" x14ac:dyDescent="0.25">
      <c r="A6" s="82"/>
      <c r="B6" s="82"/>
      <c r="C6" s="217"/>
    </row>
    <row r="7" spans="1:4" ht="15.75" x14ac:dyDescent="0.25">
      <c r="A7" s="12"/>
      <c r="B7" s="12"/>
      <c r="D7" s="83" t="s">
        <v>2</v>
      </c>
    </row>
    <row r="8" spans="1:4" ht="30" x14ac:dyDescent="0.25">
      <c r="A8" s="79" t="s">
        <v>677</v>
      </c>
      <c r="B8" s="79" t="s">
        <v>678</v>
      </c>
      <c r="C8" s="180" t="s">
        <v>1193</v>
      </c>
      <c r="D8" s="180" t="s">
        <v>1194</v>
      </c>
    </row>
    <row r="9" spans="1:4" ht="44.45" customHeight="1" x14ac:dyDescent="0.25">
      <c r="A9" s="84" t="s">
        <v>679</v>
      </c>
      <c r="B9" s="85" t="s">
        <v>680</v>
      </c>
      <c r="C9" s="313">
        <f>C10-C12</f>
        <v>0</v>
      </c>
      <c r="D9" s="250">
        <f>C9</f>
        <v>0</v>
      </c>
    </row>
    <row r="10" spans="1:4" ht="33.75" customHeight="1" x14ac:dyDescent="0.25">
      <c r="A10" s="86" t="s">
        <v>681</v>
      </c>
      <c r="B10" s="87" t="s">
        <v>682</v>
      </c>
      <c r="C10" s="314">
        <f>C11</f>
        <v>0</v>
      </c>
      <c r="D10" s="250">
        <f t="shared" ref="D10:D14" si="0">C10</f>
        <v>0</v>
      </c>
    </row>
    <row r="11" spans="1:4" ht="36.75" customHeight="1" x14ac:dyDescent="0.25">
      <c r="A11" s="88" t="s">
        <v>683</v>
      </c>
      <c r="B11" s="89" t="s">
        <v>684</v>
      </c>
      <c r="C11" s="315">
        <f>C19*(-1)</f>
        <v>0</v>
      </c>
      <c r="D11" s="251">
        <f>D19*(-1)</f>
        <v>0</v>
      </c>
    </row>
    <row r="12" spans="1:4" ht="33" customHeight="1" x14ac:dyDescent="0.25">
      <c r="A12" s="86" t="s">
        <v>685</v>
      </c>
      <c r="B12" s="87" t="s">
        <v>686</v>
      </c>
      <c r="C12" s="313">
        <f>C13</f>
        <v>0</v>
      </c>
      <c r="D12" s="250">
        <f t="shared" si="0"/>
        <v>0</v>
      </c>
    </row>
    <row r="13" spans="1:4" ht="30.75" customHeight="1" x14ac:dyDescent="0.25">
      <c r="A13" s="88" t="s">
        <v>687</v>
      </c>
      <c r="B13" s="89" t="s">
        <v>688</v>
      </c>
      <c r="C13" s="315">
        <f>C11+C19</f>
        <v>0</v>
      </c>
      <c r="D13" s="251">
        <f t="shared" si="0"/>
        <v>0</v>
      </c>
    </row>
    <row r="14" spans="1:4" ht="16.5" x14ac:dyDescent="0.25">
      <c r="A14" s="86" t="s">
        <v>674</v>
      </c>
      <c r="B14" s="89"/>
      <c r="C14" s="316">
        <f>C11-C13</f>
        <v>0</v>
      </c>
      <c r="D14" s="250">
        <f t="shared" si="0"/>
        <v>0</v>
      </c>
    </row>
    <row r="15" spans="1:4" x14ac:dyDescent="0.25">
      <c r="A15" s="217"/>
      <c r="B15" s="217"/>
      <c r="C15" s="217"/>
    </row>
    <row r="16" spans="1:4" x14ac:dyDescent="0.25">
      <c r="A16" s="217"/>
      <c r="B16" s="217"/>
      <c r="C16" s="217"/>
    </row>
    <row r="17" spans="1:4" x14ac:dyDescent="0.25">
      <c r="A17" s="217"/>
      <c r="B17" s="217" t="s">
        <v>689</v>
      </c>
      <c r="C17" s="217">
        <f>'Пр.1.1. дох.21-22'!C149</f>
        <v>732085.63199999998</v>
      </c>
      <c r="D17" s="217">
        <f>'Пр.1.1. дох.21-22'!D149</f>
        <v>735832.82</v>
      </c>
    </row>
    <row r="18" spans="1:4" x14ac:dyDescent="0.25">
      <c r="A18" s="217"/>
      <c r="B18" s="217" t="s">
        <v>690</v>
      </c>
      <c r="C18" s="249">
        <f>'пр.5.1.ведом.21-22'!G1105</f>
        <v>732085.63199999987</v>
      </c>
      <c r="D18" s="249">
        <f>'пр.5.1.ведом.21-22'!H1105</f>
        <v>735832.82</v>
      </c>
    </row>
    <row r="19" spans="1:4" x14ac:dyDescent="0.25">
      <c r="A19" s="217"/>
      <c r="B19" s="217" t="s">
        <v>691</v>
      </c>
      <c r="C19" s="217">
        <f t="shared" ref="C19:D19" si="1">C17-C18</f>
        <v>0</v>
      </c>
      <c r="D19" s="217">
        <f t="shared" si="1"/>
        <v>0</v>
      </c>
    </row>
  </sheetData>
  <mergeCells count="2">
    <mergeCell ref="A4:D4"/>
    <mergeCell ref="A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view="pageBreakPreview" topLeftCell="A70" zoomScaleNormal="100" zoomScaleSheetLayoutView="100" workbookViewId="0">
      <selection activeCell="A4" sqref="A4:D4"/>
    </sheetView>
  </sheetViews>
  <sheetFormatPr defaultRowHeight="15" x14ac:dyDescent="0.25"/>
  <cols>
    <col min="1" max="1" width="25" customWidth="1"/>
    <col min="2" max="2" width="71.7109375" style="332" customWidth="1"/>
    <col min="3" max="3" width="16" style="332" customWidth="1"/>
    <col min="4" max="4" width="17.28515625" style="332" customWidth="1"/>
    <col min="5" max="7" width="0" hidden="1" customWidth="1"/>
  </cols>
  <sheetData>
    <row r="1" spans="1:6" ht="15.75" x14ac:dyDescent="0.25">
      <c r="A1" s="129"/>
      <c r="B1" s="129"/>
      <c r="C1" s="129"/>
      <c r="D1" s="130" t="s">
        <v>1275</v>
      </c>
    </row>
    <row r="2" spans="1:6" ht="15.75" x14ac:dyDescent="0.25">
      <c r="A2" s="129"/>
      <c r="B2" s="129"/>
      <c r="C2" s="129"/>
      <c r="D2" s="130" t="s">
        <v>1</v>
      </c>
    </row>
    <row r="3" spans="1:6" ht="15.75" x14ac:dyDescent="0.25">
      <c r="A3" s="129"/>
      <c r="B3" s="131"/>
      <c r="C3" s="131"/>
      <c r="D3" s="130" t="s">
        <v>1539</v>
      </c>
    </row>
    <row r="4" spans="1:6" s="331" customFormat="1" ht="15.75" x14ac:dyDescent="0.25">
      <c r="A4" s="129"/>
      <c r="B4" s="131"/>
      <c r="C4" s="131"/>
      <c r="D4" s="130"/>
    </row>
    <row r="5" spans="1:6" ht="15.75" x14ac:dyDescent="0.25">
      <c r="A5" s="382" t="s">
        <v>1346</v>
      </c>
      <c r="B5" s="382"/>
      <c r="C5" s="382"/>
      <c r="D5" s="382"/>
    </row>
    <row r="6" spans="1:6" ht="15.75" x14ac:dyDescent="0.25">
      <c r="A6" s="382" t="s">
        <v>1347</v>
      </c>
      <c r="B6" s="382"/>
      <c r="C6" s="382"/>
      <c r="D6" s="382"/>
    </row>
    <row r="7" spans="1:6" ht="15.75" x14ac:dyDescent="0.25">
      <c r="A7" s="382" t="s">
        <v>1348</v>
      </c>
      <c r="B7" s="382"/>
      <c r="C7" s="382"/>
      <c r="D7" s="382"/>
    </row>
    <row r="8" spans="1:6" ht="15.75" x14ac:dyDescent="0.25">
      <c r="A8" s="132"/>
      <c r="B8" s="132"/>
      <c r="C8" s="183"/>
      <c r="D8" s="130" t="s">
        <v>715</v>
      </c>
    </row>
    <row r="9" spans="1:6" ht="33" customHeight="1" x14ac:dyDescent="0.25">
      <c r="A9" s="133" t="s">
        <v>3</v>
      </c>
      <c r="B9" s="134" t="s">
        <v>4</v>
      </c>
      <c r="C9" s="184" t="s">
        <v>1193</v>
      </c>
      <c r="D9" s="215" t="s">
        <v>1194</v>
      </c>
    </row>
    <row r="10" spans="1:6" ht="18.75" x14ac:dyDescent="0.25">
      <c r="A10" s="135" t="s">
        <v>6</v>
      </c>
      <c r="B10" s="136" t="s">
        <v>7</v>
      </c>
      <c r="C10" s="189">
        <f>C11+C17+C22+C32+C40+C43+C49+C55+C58+C63+C71</f>
        <v>300851.23200000002</v>
      </c>
      <c r="D10" s="189">
        <f>D11+D17+D22+D32+D40+D43+D49+D55+D58+D63+D71</f>
        <v>307481.32</v>
      </c>
      <c r="E10" s="22">
        <f>C11+C17+C22+C32+C40</f>
        <v>255057.43200000003</v>
      </c>
      <c r="F10" s="22">
        <f>D11+D17+D22+D32+D40</f>
        <v>261687.52</v>
      </c>
    </row>
    <row r="11" spans="1:6" ht="18.75" x14ac:dyDescent="0.25">
      <c r="A11" s="137" t="s">
        <v>8</v>
      </c>
      <c r="B11" s="136" t="s">
        <v>9</v>
      </c>
      <c r="C11" s="189">
        <f t="shared" ref="C11:D11" si="0">C12</f>
        <v>230821.13200000004</v>
      </c>
      <c r="D11" s="189">
        <f t="shared" si="0"/>
        <v>238476.52000000002</v>
      </c>
    </row>
    <row r="12" spans="1:6" ht="18.75" x14ac:dyDescent="0.25">
      <c r="A12" s="138" t="s">
        <v>10</v>
      </c>
      <c r="B12" s="139" t="s">
        <v>11</v>
      </c>
      <c r="C12" s="189">
        <f t="shared" ref="C12:D12" si="1">SUM(C13:C16)</f>
        <v>230821.13200000004</v>
      </c>
      <c r="D12" s="189">
        <f t="shared" si="1"/>
        <v>238476.52000000002</v>
      </c>
    </row>
    <row r="13" spans="1:6" ht="64.5" customHeight="1" x14ac:dyDescent="0.25">
      <c r="A13" s="215" t="s">
        <v>12</v>
      </c>
      <c r="B13" s="140" t="s">
        <v>13</v>
      </c>
      <c r="C13" s="190">
        <f>217000+14111.72-1043.9+71.912</f>
        <v>230139.73200000002</v>
      </c>
      <c r="D13" s="190">
        <f>217000+21791.32-1043.9</f>
        <v>237747.42</v>
      </c>
    </row>
    <row r="14" spans="1:6" ht="110.25" x14ac:dyDescent="0.25">
      <c r="A14" s="215" t="s">
        <v>14</v>
      </c>
      <c r="B14" s="141" t="s">
        <v>15</v>
      </c>
      <c r="C14" s="190">
        <v>19.600000000000001</v>
      </c>
      <c r="D14" s="190">
        <v>21</v>
      </c>
    </row>
    <row r="15" spans="1:6" ht="47.25" x14ac:dyDescent="0.25">
      <c r="A15" s="215" t="s">
        <v>16</v>
      </c>
      <c r="B15" s="141" t="s">
        <v>17</v>
      </c>
      <c r="C15" s="190">
        <v>637.6</v>
      </c>
      <c r="D15" s="190">
        <v>682.2</v>
      </c>
    </row>
    <row r="16" spans="1:6" ht="78.75" x14ac:dyDescent="0.25">
      <c r="A16" s="215" t="s">
        <v>18</v>
      </c>
      <c r="B16" s="141" t="s">
        <v>19</v>
      </c>
      <c r="C16" s="190">
        <v>24.2</v>
      </c>
      <c r="D16" s="190">
        <v>25.9</v>
      </c>
    </row>
    <row r="17" spans="1:4" ht="31.5" x14ac:dyDescent="0.25">
      <c r="A17" s="142" t="s">
        <v>20</v>
      </c>
      <c r="B17" s="143" t="s">
        <v>21</v>
      </c>
      <c r="C17" s="189">
        <f t="shared" ref="C17:D17" si="2">C18</f>
        <v>3189</v>
      </c>
      <c r="D17" s="189">
        <f t="shared" si="2"/>
        <v>3278</v>
      </c>
    </row>
    <row r="18" spans="1:4" ht="31.5" x14ac:dyDescent="0.25">
      <c r="A18" s="187" t="s">
        <v>22</v>
      </c>
      <c r="B18" s="188" t="s">
        <v>23</v>
      </c>
      <c r="C18" s="189">
        <f t="shared" ref="C18:D18" si="3">SUM(C19:C21)</f>
        <v>3189</v>
      </c>
      <c r="D18" s="189">
        <f t="shared" si="3"/>
        <v>3278</v>
      </c>
    </row>
    <row r="19" spans="1:4" ht="63" x14ac:dyDescent="0.25">
      <c r="A19" s="144" t="s">
        <v>24</v>
      </c>
      <c r="B19" s="141" t="s">
        <v>25</v>
      </c>
      <c r="C19" s="190">
        <v>1470</v>
      </c>
      <c r="D19" s="190">
        <v>1509</v>
      </c>
    </row>
    <row r="20" spans="1:4" ht="78.75" x14ac:dyDescent="0.25">
      <c r="A20" s="258" t="s">
        <v>26</v>
      </c>
      <c r="B20" s="141" t="s">
        <v>27</v>
      </c>
      <c r="C20" s="190">
        <v>7</v>
      </c>
      <c r="D20" s="190">
        <v>7</v>
      </c>
    </row>
    <row r="21" spans="1:4" ht="63" x14ac:dyDescent="0.25">
      <c r="A21" s="258" t="s">
        <v>28</v>
      </c>
      <c r="B21" s="141" t="s">
        <v>29</v>
      </c>
      <c r="C21" s="190">
        <v>1712</v>
      </c>
      <c r="D21" s="190">
        <v>1762</v>
      </c>
    </row>
    <row r="22" spans="1:4" ht="18.75" x14ac:dyDescent="0.25">
      <c r="A22" s="138" t="s">
        <v>30</v>
      </c>
      <c r="B22" s="139" t="s">
        <v>31</v>
      </c>
      <c r="C22" s="189">
        <f>SUM(C23+C28+C30)</f>
        <v>18275.900000000001</v>
      </c>
      <c r="D22" s="189">
        <f>SUM(D23+D28+D30)</f>
        <v>16997.3</v>
      </c>
    </row>
    <row r="23" spans="1:4" ht="31.5" x14ac:dyDescent="0.25">
      <c r="A23" s="135" t="s">
        <v>32</v>
      </c>
      <c r="B23" s="139" t="s">
        <v>33</v>
      </c>
      <c r="C23" s="189">
        <f>C24+C26</f>
        <v>15455</v>
      </c>
      <c r="D23" s="189">
        <f>D24+D26</f>
        <v>16622</v>
      </c>
    </row>
    <row r="24" spans="1:4" s="217" customFormat="1" ht="31.5" x14ac:dyDescent="0.25">
      <c r="A24" s="135" t="s">
        <v>1322</v>
      </c>
      <c r="B24" s="223" t="s">
        <v>35</v>
      </c>
      <c r="C24" s="189">
        <f>C25</f>
        <v>7727.5</v>
      </c>
      <c r="D24" s="189">
        <f>D25</f>
        <v>8311</v>
      </c>
    </row>
    <row r="25" spans="1:4" ht="31.5" x14ac:dyDescent="0.25">
      <c r="A25" s="133" t="s">
        <v>34</v>
      </c>
      <c r="B25" s="145" t="s">
        <v>35</v>
      </c>
      <c r="C25" s="190">
        <f>15455/2</f>
        <v>7727.5</v>
      </c>
      <c r="D25" s="190">
        <f>16622/2</f>
        <v>8311</v>
      </c>
    </row>
    <row r="26" spans="1:4" s="217" customFormat="1" ht="47.25" x14ac:dyDescent="0.25">
      <c r="A26" s="135" t="s">
        <v>1321</v>
      </c>
      <c r="B26" s="262" t="s">
        <v>1320</v>
      </c>
      <c r="C26" s="189">
        <f>C27</f>
        <v>7727.5</v>
      </c>
      <c r="D26" s="189">
        <f>D27</f>
        <v>8311</v>
      </c>
    </row>
    <row r="27" spans="1:4" ht="63" x14ac:dyDescent="0.25">
      <c r="A27" s="133" t="s">
        <v>36</v>
      </c>
      <c r="B27" s="145" t="s">
        <v>37</v>
      </c>
      <c r="C27" s="190">
        <f>C25</f>
        <v>7727.5</v>
      </c>
      <c r="D27" s="190">
        <f>D25</f>
        <v>8311</v>
      </c>
    </row>
    <row r="28" spans="1:4" ht="31.5" x14ac:dyDescent="0.25">
      <c r="A28" s="135" t="s">
        <v>38</v>
      </c>
      <c r="B28" s="139" t="s">
        <v>39</v>
      </c>
      <c r="C28" s="189">
        <f t="shared" ref="C28:D28" si="4">SUM(C29:C29)</f>
        <v>2460</v>
      </c>
      <c r="D28" s="189">
        <f t="shared" si="4"/>
        <v>0</v>
      </c>
    </row>
    <row r="29" spans="1:4" ht="21.75" customHeight="1" x14ac:dyDescent="0.25">
      <c r="A29" s="215" t="s">
        <v>40</v>
      </c>
      <c r="B29" s="242" t="s">
        <v>39</v>
      </c>
      <c r="C29" s="190">
        <v>2460</v>
      </c>
      <c r="D29" s="190">
        <v>0</v>
      </c>
    </row>
    <row r="30" spans="1:4" s="217" customFormat="1" ht="36" customHeight="1" x14ac:dyDescent="0.25">
      <c r="A30" s="135" t="s">
        <v>1336</v>
      </c>
      <c r="B30" s="146" t="s">
        <v>1323</v>
      </c>
      <c r="C30" s="189">
        <f>C31</f>
        <v>360.9</v>
      </c>
      <c r="D30" s="190">
        <f>D31</f>
        <v>375.3</v>
      </c>
    </row>
    <row r="31" spans="1:4" ht="31.5" x14ac:dyDescent="0.25">
      <c r="A31" s="133" t="s">
        <v>41</v>
      </c>
      <c r="B31" s="253" t="s">
        <v>42</v>
      </c>
      <c r="C31" s="190">
        <v>360.9</v>
      </c>
      <c r="D31" s="190">
        <v>375.3</v>
      </c>
    </row>
    <row r="32" spans="1:4" ht="18.75" x14ac:dyDescent="0.25">
      <c r="A32" s="138" t="s">
        <v>43</v>
      </c>
      <c r="B32" s="139" t="s">
        <v>44</v>
      </c>
      <c r="C32" s="189">
        <f>C33+C35</f>
        <v>1238.4000000000001</v>
      </c>
      <c r="D32" s="189">
        <f t="shared" ref="D32" si="5">D33+D35</f>
        <v>1341.4</v>
      </c>
    </row>
    <row r="33" spans="1:6" ht="18.75" x14ac:dyDescent="0.25">
      <c r="A33" s="138" t="s">
        <v>45</v>
      </c>
      <c r="B33" s="139" t="s">
        <v>46</v>
      </c>
      <c r="C33" s="189">
        <f t="shared" ref="C33:D33" si="6">C34</f>
        <v>892.1</v>
      </c>
      <c r="D33" s="189">
        <f t="shared" si="6"/>
        <v>981.3</v>
      </c>
    </row>
    <row r="34" spans="1:6" ht="47.25" x14ac:dyDescent="0.25">
      <c r="A34" s="215" t="s">
        <v>47</v>
      </c>
      <c r="B34" s="145" t="s">
        <v>48</v>
      </c>
      <c r="C34" s="190">
        <v>892.1</v>
      </c>
      <c r="D34" s="190">
        <v>981.3</v>
      </c>
    </row>
    <row r="35" spans="1:6" ht="18.75" x14ac:dyDescent="0.25">
      <c r="A35" s="138" t="s">
        <v>49</v>
      </c>
      <c r="B35" s="139" t="s">
        <v>50</v>
      </c>
      <c r="C35" s="189">
        <f>C36+C38</f>
        <v>346.29999999999995</v>
      </c>
      <c r="D35" s="189">
        <f>D36+D38</f>
        <v>360.1</v>
      </c>
    </row>
    <row r="36" spans="1:6" s="217" customFormat="1" ht="18.75" x14ac:dyDescent="0.25">
      <c r="A36" s="138" t="s">
        <v>1338</v>
      </c>
      <c r="B36" s="139" t="s">
        <v>1337</v>
      </c>
      <c r="C36" s="189">
        <f>C37</f>
        <v>185.1</v>
      </c>
      <c r="D36" s="189">
        <f>D37</f>
        <v>192.5</v>
      </c>
    </row>
    <row r="37" spans="1:6" ht="31.5" x14ac:dyDescent="0.25">
      <c r="A37" s="215" t="s">
        <v>51</v>
      </c>
      <c r="B37" s="145" t="s">
        <v>52</v>
      </c>
      <c r="C37" s="190">
        <v>185.1</v>
      </c>
      <c r="D37" s="190">
        <v>192.5</v>
      </c>
    </row>
    <row r="38" spans="1:6" s="217" customFormat="1" ht="18.75" x14ac:dyDescent="0.25">
      <c r="A38" s="138" t="s">
        <v>1340</v>
      </c>
      <c r="B38" s="139" t="s">
        <v>1339</v>
      </c>
      <c r="C38" s="189">
        <f>C39</f>
        <v>161.19999999999999</v>
      </c>
      <c r="D38" s="189">
        <f>D39</f>
        <v>167.6</v>
      </c>
    </row>
    <row r="39" spans="1:6" ht="31.5" x14ac:dyDescent="0.25">
      <c r="A39" s="215" t="s">
        <v>53</v>
      </c>
      <c r="B39" s="145" t="s">
        <v>54</v>
      </c>
      <c r="C39" s="190">
        <v>161.19999999999999</v>
      </c>
      <c r="D39" s="190">
        <v>167.6</v>
      </c>
    </row>
    <row r="40" spans="1:6" ht="18.75" x14ac:dyDescent="0.25">
      <c r="A40" s="138" t="s">
        <v>55</v>
      </c>
      <c r="B40" s="139" t="s">
        <v>56</v>
      </c>
      <c r="C40" s="189">
        <f t="shared" ref="C40:D41" si="7">C41</f>
        <v>1533</v>
      </c>
      <c r="D40" s="189">
        <f t="shared" si="7"/>
        <v>1594.3</v>
      </c>
    </row>
    <row r="41" spans="1:6" ht="31.5" x14ac:dyDescent="0.25">
      <c r="A41" s="138" t="s">
        <v>57</v>
      </c>
      <c r="B41" s="139" t="s">
        <v>58</v>
      </c>
      <c r="C41" s="189">
        <f t="shared" si="7"/>
        <v>1533</v>
      </c>
      <c r="D41" s="189">
        <f t="shared" si="7"/>
        <v>1594.3</v>
      </c>
    </row>
    <row r="42" spans="1:6" ht="47.25" x14ac:dyDescent="0.25">
      <c r="A42" s="215" t="s">
        <v>59</v>
      </c>
      <c r="B42" s="140" t="s">
        <v>60</v>
      </c>
      <c r="C42" s="190">
        <v>1533</v>
      </c>
      <c r="D42" s="190">
        <v>1594.3</v>
      </c>
    </row>
    <row r="43" spans="1:6" ht="47.25" x14ac:dyDescent="0.25">
      <c r="A43" s="138" t="s">
        <v>61</v>
      </c>
      <c r="B43" s="147" t="s">
        <v>62</v>
      </c>
      <c r="C43" s="189">
        <f t="shared" ref="C43:D43" si="8">C44</f>
        <v>43000</v>
      </c>
      <c r="D43" s="189">
        <f t="shared" si="8"/>
        <v>43000</v>
      </c>
      <c r="E43" s="22">
        <f>C43+C49+C55+C58+C63</f>
        <v>45793.8</v>
      </c>
      <c r="F43" s="22">
        <f>D43+D49+D55+D58+D63</f>
        <v>45793.8</v>
      </c>
    </row>
    <row r="44" spans="1:6" ht="78.75" x14ac:dyDescent="0.25">
      <c r="A44" s="138" t="s">
        <v>63</v>
      </c>
      <c r="B44" s="147" t="s">
        <v>64</v>
      </c>
      <c r="C44" s="189">
        <f t="shared" ref="C44:D44" si="9">C45+C47</f>
        <v>43000</v>
      </c>
      <c r="D44" s="189">
        <f t="shared" si="9"/>
        <v>43000</v>
      </c>
    </row>
    <row r="45" spans="1:6" ht="63" x14ac:dyDescent="0.25">
      <c r="A45" s="138" t="s">
        <v>65</v>
      </c>
      <c r="B45" s="139" t="s">
        <v>66</v>
      </c>
      <c r="C45" s="189">
        <f t="shared" ref="C45:D45" si="10">C46</f>
        <v>38000</v>
      </c>
      <c r="D45" s="189">
        <f t="shared" si="10"/>
        <v>38000</v>
      </c>
    </row>
    <row r="46" spans="1:6" ht="78.75" x14ac:dyDescent="0.25">
      <c r="A46" s="215" t="s">
        <v>67</v>
      </c>
      <c r="B46" s="145" t="s">
        <v>68</v>
      </c>
      <c r="C46" s="190">
        <v>38000</v>
      </c>
      <c r="D46" s="190">
        <v>38000</v>
      </c>
    </row>
    <row r="47" spans="1:6" ht="47.25" x14ac:dyDescent="0.25">
      <c r="A47" s="138" t="s">
        <v>69</v>
      </c>
      <c r="B47" s="139" t="s">
        <v>70</v>
      </c>
      <c r="C47" s="189">
        <f t="shared" ref="C47:D47" si="11">C48</f>
        <v>5000</v>
      </c>
      <c r="D47" s="189">
        <f t="shared" si="11"/>
        <v>5000</v>
      </c>
    </row>
    <row r="48" spans="1:6" ht="31.5" x14ac:dyDescent="0.25">
      <c r="A48" s="215" t="s">
        <v>71</v>
      </c>
      <c r="B48" s="145" t="s">
        <v>72</v>
      </c>
      <c r="C48" s="190">
        <v>5000</v>
      </c>
      <c r="D48" s="190">
        <v>5000</v>
      </c>
    </row>
    <row r="49" spans="1:4" ht="18.75" x14ac:dyDescent="0.25">
      <c r="A49" s="138" t="s">
        <v>73</v>
      </c>
      <c r="B49" s="147" t="s">
        <v>74</v>
      </c>
      <c r="C49" s="189">
        <f t="shared" ref="C49:D49" si="12">SUM(C50)</f>
        <v>1735.8</v>
      </c>
      <c r="D49" s="189">
        <f t="shared" si="12"/>
        <v>1735.8</v>
      </c>
    </row>
    <row r="50" spans="1:4" ht="18.75" x14ac:dyDescent="0.25">
      <c r="A50" s="138" t="s">
        <v>75</v>
      </c>
      <c r="B50" s="147" t="s">
        <v>76</v>
      </c>
      <c r="C50" s="189">
        <f>SUM(C51:C54)</f>
        <v>1735.8</v>
      </c>
      <c r="D50" s="189">
        <f>SUM(D51:D54)</f>
        <v>1735.8</v>
      </c>
    </row>
    <row r="51" spans="1:4" ht="31.5" x14ac:dyDescent="0.25">
      <c r="A51" s="215" t="s">
        <v>77</v>
      </c>
      <c r="B51" s="140" t="s">
        <v>78</v>
      </c>
      <c r="C51" s="190">
        <v>517.9</v>
      </c>
      <c r="D51" s="190">
        <v>517.9</v>
      </c>
    </row>
    <row r="52" spans="1:4" ht="18.75" x14ac:dyDescent="0.25">
      <c r="A52" s="215" t="s">
        <v>79</v>
      </c>
      <c r="B52" s="140" t="s">
        <v>80</v>
      </c>
      <c r="C52" s="190">
        <v>1.1000000000000001</v>
      </c>
      <c r="D52" s="190">
        <v>1.1000000000000001</v>
      </c>
    </row>
    <row r="53" spans="1:4" ht="18.75" x14ac:dyDescent="0.25">
      <c r="A53" s="215" t="s">
        <v>826</v>
      </c>
      <c r="B53" s="140" t="s">
        <v>827</v>
      </c>
      <c r="C53" s="190">
        <v>1060.8</v>
      </c>
      <c r="D53" s="190">
        <v>1060.8</v>
      </c>
    </row>
    <row r="54" spans="1:4" ht="18.75" x14ac:dyDescent="0.25">
      <c r="A54" s="215" t="s">
        <v>828</v>
      </c>
      <c r="B54" s="140" t="s">
        <v>829</v>
      </c>
      <c r="C54" s="190">
        <v>156</v>
      </c>
      <c r="D54" s="190">
        <v>156</v>
      </c>
    </row>
    <row r="55" spans="1:4" ht="31.5" x14ac:dyDescent="0.25">
      <c r="A55" s="138" t="s">
        <v>81</v>
      </c>
      <c r="B55" s="147" t="s">
        <v>82</v>
      </c>
      <c r="C55" s="189">
        <f>C57</f>
        <v>792</v>
      </c>
      <c r="D55" s="189">
        <f>D57</f>
        <v>792</v>
      </c>
    </row>
    <row r="56" spans="1:4" ht="18.75" x14ac:dyDescent="0.25">
      <c r="A56" s="138" t="s">
        <v>83</v>
      </c>
      <c r="B56" s="147" t="s">
        <v>84</v>
      </c>
      <c r="C56" s="189">
        <f>C57</f>
        <v>792</v>
      </c>
      <c r="D56" s="189">
        <f>D57</f>
        <v>792</v>
      </c>
    </row>
    <row r="57" spans="1:4" ht="31.5" x14ac:dyDescent="0.25">
      <c r="A57" s="215" t="s">
        <v>85</v>
      </c>
      <c r="B57" s="140" t="s">
        <v>86</v>
      </c>
      <c r="C57" s="190">
        <v>792</v>
      </c>
      <c r="D57" s="190">
        <f t="shared" ref="D57" si="13">C57</f>
        <v>792</v>
      </c>
    </row>
    <row r="58" spans="1:4" ht="31.5" x14ac:dyDescent="0.25">
      <c r="A58" s="138" t="s">
        <v>87</v>
      </c>
      <c r="B58" s="147" t="s">
        <v>88</v>
      </c>
      <c r="C58" s="189">
        <f t="shared" ref="C58:D58" si="14">SUM(C59+C61)</f>
        <v>236</v>
      </c>
      <c r="D58" s="189">
        <f t="shared" si="14"/>
        <v>236</v>
      </c>
    </row>
    <row r="59" spans="1:4" ht="78.75" x14ac:dyDescent="0.25">
      <c r="A59" s="138" t="s">
        <v>89</v>
      </c>
      <c r="B59" s="147" t="s">
        <v>90</v>
      </c>
      <c r="C59" s="189">
        <f t="shared" ref="C59:D59" si="15">C60</f>
        <v>235</v>
      </c>
      <c r="D59" s="189">
        <f t="shared" si="15"/>
        <v>235</v>
      </c>
    </row>
    <row r="60" spans="1:4" ht="94.5" x14ac:dyDescent="0.25">
      <c r="A60" s="215" t="s">
        <v>91</v>
      </c>
      <c r="B60" s="140" t="s">
        <v>716</v>
      </c>
      <c r="C60" s="190">
        <v>235</v>
      </c>
      <c r="D60" s="190">
        <v>235</v>
      </c>
    </row>
    <row r="61" spans="1:4" ht="31.5" x14ac:dyDescent="0.25">
      <c r="A61" s="138" t="s">
        <v>92</v>
      </c>
      <c r="B61" s="147" t="s">
        <v>93</v>
      </c>
      <c r="C61" s="189">
        <f t="shared" ref="C61:D61" si="16">SUM(C62)</f>
        <v>1</v>
      </c>
      <c r="D61" s="189">
        <f t="shared" si="16"/>
        <v>1</v>
      </c>
    </row>
    <row r="62" spans="1:4" ht="47.25" x14ac:dyDescent="0.25">
      <c r="A62" s="215" t="s">
        <v>94</v>
      </c>
      <c r="B62" s="140" t="s">
        <v>95</v>
      </c>
      <c r="C62" s="190">
        <v>1</v>
      </c>
      <c r="D62" s="190">
        <v>1</v>
      </c>
    </row>
    <row r="63" spans="1:4" ht="18.75" x14ac:dyDescent="0.25">
      <c r="A63" s="138" t="s">
        <v>96</v>
      </c>
      <c r="B63" s="147" t="s">
        <v>97</v>
      </c>
      <c r="C63" s="189">
        <f>C64</f>
        <v>30</v>
      </c>
      <c r="D63" s="189">
        <f>D64</f>
        <v>30</v>
      </c>
    </row>
    <row r="64" spans="1:4" ht="31.5" x14ac:dyDescent="0.25">
      <c r="A64" s="138" t="s">
        <v>1300</v>
      </c>
      <c r="B64" s="252" t="s">
        <v>98</v>
      </c>
      <c r="C64" s="347">
        <f>C65+C67+C69</f>
        <v>30</v>
      </c>
      <c r="D64" s="347">
        <f>D65+D67+D69</f>
        <v>30</v>
      </c>
    </row>
    <row r="65" spans="1:6" s="217" customFormat="1" ht="63" x14ac:dyDescent="0.25">
      <c r="A65" s="138" t="s">
        <v>1317</v>
      </c>
      <c r="B65" s="263" t="s">
        <v>1316</v>
      </c>
      <c r="C65" s="347">
        <f>C66</f>
        <v>10</v>
      </c>
      <c r="D65" s="347">
        <f>D66</f>
        <v>10</v>
      </c>
    </row>
    <row r="66" spans="1:6" s="217" customFormat="1" ht="78.75" x14ac:dyDescent="0.25">
      <c r="A66" s="215" t="s">
        <v>1302</v>
      </c>
      <c r="B66" s="264" t="s">
        <v>1311</v>
      </c>
      <c r="C66" s="335">
        <v>10</v>
      </c>
      <c r="D66" s="335">
        <v>10</v>
      </c>
    </row>
    <row r="67" spans="1:6" s="217" customFormat="1" ht="78.75" x14ac:dyDescent="0.25">
      <c r="A67" s="138" t="s">
        <v>1319</v>
      </c>
      <c r="B67" s="263" t="s">
        <v>1318</v>
      </c>
      <c r="C67" s="347">
        <f>C68</f>
        <v>10</v>
      </c>
      <c r="D67" s="347">
        <f>D68</f>
        <v>10</v>
      </c>
    </row>
    <row r="68" spans="1:6" ht="96" customHeight="1" x14ac:dyDescent="0.25">
      <c r="A68" s="215" t="s">
        <v>1301</v>
      </c>
      <c r="B68" s="264" t="s">
        <v>1312</v>
      </c>
      <c r="C68" s="335">
        <v>10</v>
      </c>
      <c r="D68" s="335">
        <v>10</v>
      </c>
    </row>
    <row r="69" spans="1:6" s="217" customFormat="1" ht="75.2" customHeight="1" x14ac:dyDescent="0.25">
      <c r="A69" s="138" t="s">
        <v>1315</v>
      </c>
      <c r="B69" s="265" t="s">
        <v>1314</v>
      </c>
      <c r="C69" s="347">
        <f>C70</f>
        <v>10</v>
      </c>
      <c r="D69" s="347">
        <f>D70</f>
        <v>10</v>
      </c>
    </row>
    <row r="70" spans="1:6" ht="87.75" customHeight="1" x14ac:dyDescent="0.25">
      <c r="A70" s="215" t="s">
        <v>1305</v>
      </c>
      <c r="B70" s="266" t="s">
        <v>1313</v>
      </c>
      <c r="C70" s="190">
        <v>10</v>
      </c>
      <c r="D70" s="190">
        <v>10</v>
      </c>
    </row>
    <row r="71" spans="1:6" ht="18.75" hidden="1" x14ac:dyDescent="0.25">
      <c r="A71" s="3" t="s">
        <v>1303</v>
      </c>
      <c r="B71" s="186" t="s">
        <v>790</v>
      </c>
      <c r="C71" s="189">
        <f>C72</f>
        <v>0</v>
      </c>
      <c r="D71" s="189">
        <f>D72</f>
        <v>0</v>
      </c>
    </row>
    <row r="72" spans="1:6" ht="18.75" hidden="1" x14ac:dyDescent="0.25">
      <c r="A72" s="3" t="s">
        <v>1304</v>
      </c>
      <c r="B72" s="186" t="s">
        <v>791</v>
      </c>
      <c r="C72" s="189">
        <f t="shared" ref="C72:D72" si="17">SUM(C73)</f>
        <v>0</v>
      </c>
      <c r="D72" s="189">
        <f t="shared" si="17"/>
        <v>0</v>
      </c>
    </row>
    <row r="73" spans="1:6" ht="18.75" hidden="1" x14ac:dyDescent="0.25">
      <c r="A73" s="2" t="s">
        <v>792</v>
      </c>
      <c r="B73" s="185" t="s">
        <v>793</v>
      </c>
      <c r="C73" s="190">
        <v>0</v>
      </c>
      <c r="D73" s="190">
        <v>0</v>
      </c>
    </row>
    <row r="74" spans="1:6" ht="18.75" x14ac:dyDescent="0.25">
      <c r="A74" s="138" t="s">
        <v>99</v>
      </c>
      <c r="B74" s="139" t="s">
        <v>100</v>
      </c>
      <c r="C74" s="189">
        <f>SUM(C75+C143)</f>
        <v>431234.39999999991</v>
      </c>
      <c r="D74" s="189">
        <f>SUM(D75+D143)</f>
        <v>428351.49999999994</v>
      </c>
      <c r="E74" s="22">
        <f>C74-C76</f>
        <v>273109.39999999991</v>
      </c>
      <c r="F74" s="22">
        <f>D74-D76</f>
        <v>270226.49999999994</v>
      </c>
    </row>
    <row r="75" spans="1:6" ht="31.5" x14ac:dyDescent="0.25">
      <c r="A75" s="138" t="s">
        <v>101</v>
      </c>
      <c r="B75" s="139" t="s">
        <v>102</v>
      </c>
      <c r="C75" s="189">
        <f>SUM(C76+C83+C111+C136)</f>
        <v>431234.39999999991</v>
      </c>
      <c r="D75" s="189">
        <f>SUM(D76+D83+D111+D136)</f>
        <v>428351.49999999994</v>
      </c>
      <c r="E75">
        <v>265225.5</v>
      </c>
    </row>
    <row r="76" spans="1:6" ht="18.75" x14ac:dyDescent="0.25">
      <c r="A76" s="138" t="s">
        <v>856</v>
      </c>
      <c r="B76" s="148" t="s">
        <v>103</v>
      </c>
      <c r="C76" s="189">
        <f>C78+C81</f>
        <v>158125</v>
      </c>
      <c r="D76" s="189">
        <f>D78+D81</f>
        <v>158125</v>
      </c>
      <c r="E76" s="22">
        <f>E74-E75</f>
        <v>7883.8999999999069</v>
      </c>
    </row>
    <row r="77" spans="1:6" s="217" customFormat="1" ht="19.5" customHeight="1" x14ac:dyDescent="0.25">
      <c r="A77" s="138" t="s">
        <v>1344</v>
      </c>
      <c r="B77" s="148" t="s">
        <v>1341</v>
      </c>
      <c r="C77" s="189">
        <f>C78</f>
        <v>158125</v>
      </c>
      <c r="D77" s="189">
        <f>D78</f>
        <v>158125</v>
      </c>
    </row>
    <row r="78" spans="1:6" ht="36.75" customHeight="1" x14ac:dyDescent="0.25">
      <c r="A78" s="138" t="s">
        <v>855</v>
      </c>
      <c r="B78" s="139" t="s">
        <v>1361</v>
      </c>
      <c r="C78" s="189">
        <f t="shared" ref="C78:D78" si="18">SUM(C79+C80)</f>
        <v>158125</v>
      </c>
      <c r="D78" s="189">
        <f t="shared" si="18"/>
        <v>158125</v>
      </c>
    </row>
    <row r="79" spans="1:6" ht="110.25" x14ac:dyDescent="0.25">
      <c r="A79" s="133" t="s">
        <v>855</v>
      </c>
      <c r="B79" s="145" t="s">
        <v>104</v>
      </c>
      <c r="C79" s="190">
        <v>158125</v>
      </c>
      <c r="D79" s="190">
        <v>158125</v>
      </c>
    </row>
    <row r="80" spans="1:6" ht="94.7" hidden="1" customHeight="1" x14ac:dyDescent="0.25">
      <c r="A80" s="133" t="s">
        <v>855</v>
      </c>
      <c r="B80" s="145" t="s">
        <v>105</v>
      </c>
      <c r="C80" s="190">
        <v>0</v>
      </c>
      <c r="D80" s="190">
        <v>0</v>
      </c>
    </row>
    <row r="81" spans="1:4" s="217" customFormat="1" ht="31.5" hidden="1" x14ac:dyDescent="0.25">
      <c r="A81" s="135" t="s">
        <v>1342</v>
      </c>
      <c r="B81" s="139" t="s">
        <v>1284</v>
      </c>
      <c r="C81" s="189">
        <f>C82</f>
        <v>0</v>
      </c>
      <c r="D81" s="189">
        <f>D82</f>
        <v>0</v>
      </c>
    </row>
    <row r="82" spans="1:4" s="217" customFormat="1" ht="31.5" hidden="1" x14ac:dyDescent="0.25">
      <c r="A82" s="133" t="s">
        <v>1283</v>
      </c>
      <c r="B82" s="145" t="s">
        <v>1284</v>
      </c>
      <c r="C82" s="190">
        <v>0</v>
      </c>
      <c r="D82" s="190">
        <v>0</v>
      </c>
    </row>
    <row r="83" spans="1:4" ht="31.5" x14ac:dyDescent="0.25">
      <c r="A83" s="138" t="s">
        <v>854</v>
      </c>
      <c r="B83" s="139" t="s">
        <v>106</v>
      </c>
      <c r="C83" s="189">
        <f>C89+C94+C97+C90+C92</f>
        <v>17368.3</v>
      </c>
      <c r="D83" s="189">
        <f>D89+D94+D97+D90+D92</f>
        <v>7026.6999999999989</v>
      </c>
    </row>
    <row r="84" spans="1:4" s="217" customFormat="1" ht="47.25" hidden="1" x14ac:dyDescent="0.25">
      <c r="A84" s="278" t="s">
        <v>1382</v>
      </c>
      <c r="B84" s="262" t="s">
        <v>1384</v>
      </c>
      <c r="C84" s="284">
        <f>C85</f>
        <v>0</v>
      </c>
      <c r="D84" s="189"/>
    </row>
    <row r="85" spans="1:4" s="217" customFormat="1" ht="47.25" hidden="1" x14ac:dyDescent="0.25">
      <c r="A85" s="215" t="s">
        <v>1381</v>
      </c>
      <c r="B85" s="99" t="s">
        <v>1383</v>
      </c>
      <c r="C85" s="190">
        <v>0</v>
      </c>
      <c r="D85" s="189"/>
    </row>
    <row r="86" spans="1:4" s="217" customFormat="1" ht="47.25" hidden="1" x14ac:dyDescent="0.25">
      <c r="A86" s="138" t="s">
        <v>1385</v>
      </c>
      <c r="B86" s="223" t="s">
        <v>1388</v>
      </c>
      <c r="C86" s="189">
        <f>C87</f>
        <v>0</v>
      </c>
      <c r="D86" s="189"/>
    </row>
    <row r="87" spans="1:4" s="217" customFormat="1" ht="47.25" hidden="1" x14ac:dyDescent="0.25">
      <c r="A87" s="215" t="s">
        <v>1386</v>
      </c>
      <c r="B87" s="99" t="s">
        <v>1387</v>
      </c>
      <c r="C87" s="190">
        <v>0</v>
      </c>
      <c r="D87" s="189"/>
    </row>
    <row r="88" spans="1:4" ht="31.5" hidden="1" x14ac:dyDescent="0.25">
      <c r="A88" s="257" t="s">
        <v>1326</v>
      </c>
      <c r="B88" s="139" t="s">
        <v>1345</v>
      </c>
      <c r="C88" s="189">
        <f>C89</f>
        <v>0</v>
      </c>
      <c r="D88" s="189">
        <f>D89</f>
        <v>0</v>
      </c>
    </row>
    <row r="89" spans="1:4" s="217" customFormat="1" ht="31.5" hidden="1" x14ac:dyDescent="0.25">
      <c r="A89" s="258" t="s">
        <v>818</v>
      </c>
      <c r="B89" s="145" t="s">
        <v>825</v>
      </c>
      <c r="C89" s="190">
        <v>0</v>
      </c>
      <c r="D89" s="190">
        <v>0</v>
      </c>
    </row>
    <row r="90" spans="1:4" ht="40.700000000000003" hidden="1" customHeight="1" x14ac:dyDescent="0.25">
      <c r="A90" s="257" t="s">
        <v>1328</v>
      </c>
      <c r="B90" s="147" t="s">
        <v>871</v>
      </c>
      <c r="C90" s="189">
        <f>C91</f>
        <v>0</v>
      </c>
      <c r="D90" s="189">
        <f>D91</f>
        <v>0</v>
      </c>
    </row>
    <row r="91" spans="1:4" ht="39.75" hidden="1" customHeight="1" x14ac:dyDescent="0.25">
      <c r="A91" s="258" t="s">
        <v>870</v>
      </c>
      <c r="B91" s="140" t="s">
        <v>871</v>
      </c>
      <c r="C91" s="190">
        <v>0</v>
      </c>
      <c r="D91" s="190">
        <v>0</v>
      </c>
    </row>
    <row r="92" spans="1:4" s="217" customFormat="1" ht="19.5" customHeight="1" x14ac:dyDescent="0.25">
      <c r="A92" s="285" t="s">
        <v>1375</v>
      </c>
      <c r="B92" s="290" t="s">
        <v>1378</v>
      </c>
      <c r="C92" s="189">
        <f>C93</f>
        <v>2202.4</v>
      </c>
      <c r="D92" s="189">
        <f>D93</f>
        <v>0</v>
      </c>
    </row>
    <row r="93" spans="1:4" s="217" customFormat="1" ht="87.75" customHeight="1" x14ac:dyDescent="0.25">
      <c r="A93" s="286" t="s">
        <v>1373</v>
      </c>
      <c r="B93" s="270" t="s">
        <v>1476</v>
      </c>
      <c r="C93" s="190">
        <v>2202.4</v>
      </c>
      <c r="D93" s="190">
        <v>0</v>
      </c>
    </row>
    <row r="94" spans="1:4" ht="31.5" x14ac:dyDescent="0.25">
      <c r="A94" s="257" t="s">
        <v>1330</v>
      </c>
      <c r="B94" s="139" t="s">
        <v>1331</v>
      </c>
      <c r="C94" s="189">
        <f t="shared" ref="C94:D96" si="19">SUM(C95)</f>
        <v>3026.4</v>
      </c>
      <c r="D94" s="189">
        <f t="shared" si="19"/>
        <v>0</v>
      </c>
    </row>
    <row r="95" spans="1:4" ht="129.19999999999999" customHeight="1" x14ac:dyDescent="0.25">
      <c r="A95" s="319" t="s">
        <v>1473</v>
      </c>
      <c r="B95" s="145" t="s">
        <v>1474</v>
      </c>
      <c r="C95" s="190">
        <v>3026.4</v>
      </c>
      <c r="D95" s="190">
        <v>0</v>
      </c>
    </row>
    <row r="96" spans="1:4" ht="18.75" x14ac:dyDescent="0.25">
      <c r="A96" s="257" t="s">
        <v>1334</v>
      </c>
      <c r="B96" s="139" t="s">
        <v>1333</v>
      </c>
      <c r="C96" s="189">
        <f t="shared" si="19"/>
        <v>12139.5</v>
      </c>
      <c r="D96" s="189">
        <f t="shared" si="19"/>
        <v>7026.6999999999989</v>
      </c>
    </row>
    <row r="97" spans="1:4" ht="18.75" x14ac:dyDescent="0.25">
      <c r="A97" s="215" t="s">
        <v>852</v>
      </c>
      <c r="B97" s="145" t="s">
        <v>107</v>
      </c>
      <c r="C97" s="296">
        <f>C99+C100+C101+C102+C103+C106+C107+C108+C109+C110</f>
        <v>12139.5</v>
      </c>
      <c r="D97" s="296">
        <f>D99+D100+D101+D102+D103+D106+D107+D108+D109+D110</f>
        <v>7026.6999999999989</v>
      </c>
    </row>
    <row r="98" spans="1:4" ht="157.5" hidden="1" x14ac:dyDescent="0.25">
      <c r="A98" s="385"/>
      <c r="B98" s="145" t="s">
        <v>839</v>
      </c>
      <c r="C98" s="190">
        <v>0</v>
      </c>
      <c r="D98" s="190">
        <v>0</v>
      </c>
    </row>
    <row r="99" spans="1:4" ht="63" customHeight="1" x14ac:dyDescent="0.25">
      <c r="A99" s="386"/>
      <c r="B99" s="140" t="s">
        <v>840</v>
      </c>
      <c r="C99" s="190">
        <v>65.2</v>
      </c>
      <c r="D99" s="190">
        <v>65.2</v>
      </c>
    </row>
    <row r="100" spans="1:4" s="217" customFormat="1" ht="129.19999999999999" customHeight="1" x14ac:dyDescent="0.25">
      <c r="A100" s="386"/>
      <c r="B100" s="151" t="s">
        <v>1379</v>
      </c>
      <c r="C100" s="293">
        <v>1666.6</v>
      </c>
      <c r="D100" s="293">
        <f>C100</f>
        <v>1666.6</v>
      </c>
    </row>
    <row r="101" spans="1:4" s="217" customFormat="1" ht="143.44999999999999" customHeight="1" x14ac:dyDescent="0.25">
      <c r="A101" s="386"/>
      <c r="B101" s="282" t="s">
        <v>1380</v>
      </c>
      <c r="C101" s="293">
        <v>500</v>
      </c>
      <c r="D101" s="293">
        <f>500-121.3</f>
        <v>378.7</v>
      </c>
    </row>
    <row r="102" spans="1:4" ht="94.5" x14ac:dyDescent="0.25">
      <c r="A102" s="386"/>
      <c r="B102" s="150" t="s">
        <v>725</v>
      </c>
      <c r="C102" s="297">
        <v>2220.9</v>
      </c>
      <c r="D102" s="297">
        <v>2220.9</v>
      </c>
    </row>
    <row r="103" spans="1:4" ht="67.7" customHeight="1" x14ac:dyDescent="0.25">
      <c r="A103" s="386"/>
      <c r="B103" s="151" t="s">
        <v>841</v>
      </c>
      <c r="C103" s="298">
        <f t="shared" ref="C103:D103" si="20">SUM(C104:C105)</f>
        <v>25</v>
      </c>
      <c r="D103" s="298">
        <f t="shared" si="20"/>
        <v>25</v>
      </c>
    </row>
    <row r="104" spans="1:4" ht="116.45" customHeight="1" x14ac:dyDescent="0.25">
      <c r="A104" s="386"/>
      <c r="B104" s="267" t="s">
        <v>838</v>
      </c>
      <c r="C104" s="299">
        <v>0</v>
      </c>
      <c r="D104" s="299">
        <v>0</v>
      </c>
    </row>
    <row r="105" spans="1:4" ht="110.25" x14ac:dyDescent="0.25">
      <c r="A105" s="386"/>
      <c r="B105" s="168" t="s">
        <v>872</v>
      </c>
      <c r="C105" s="300">
        <v>25</v>
      </c>
      <c r="D105" s="300">
        <v>25</v>
      </c>
    </row>
    <row r="106" spans="1:4" ht="94.5" x14ac:dyDescent="0.25">
      <c r="A106" s="386"/>
      <c r="B106" s="140" t="s">
        <v>109</v>
      </c>
      <c r="C106" s="190">
        <v>1743.4</v>
      </c>
      <c r="D106" s="190">
        <v>1751.9</v>
      </c>
    </row>
    <row r="107" spans="1:4" ht="87.75" customHeight="1" x14ac:dyDescent="0.25">
      <c r="A107" s="386"/>
      <c r="B107" s="140" t="s">
        <v>842</v>
      </c>
      <c r="C107" s="190">
        <v>255</v>
      </c>
      <c r="D107" s="190">
        <v>255</v>
      </c>
    </row>
    <row r="108" spans="1:4" ht="94.5" x14ac:dyDescent="0.25">
      <c r="A108" s="386"/>
      <c r="B108" s="140" t="s">
        <v>843</v>
      </c>
      <c r="C108" s="190">
        <f>488.7+8</f>
        <v>496.7</v>
      </c>
      <c r="D108" s="190">
        <f>488.7+8</f>
        <v>496.7</v>
      </c>
    </row>
    <row r="109" spans="1:4" s="217" customFormat="1" ht="95.25" customHeight="1" x14ac:dyDescent="0.25">
      <c r="A109" s="386"/>
      <c r="B109" s="270" t="s">
        <v>1395</v>
      </c>
      <c r="C109" s="301">
        <v>5000</v>
      </c>
      <c r="D109" s="190">
        <v>0</v>
      </c>
    </row>
    <row r="110" spans="1:4" ht="157.5" x14ac:dyDescent="0.25">
      <c r="A110" s="387"/>
      <c r="B110" s="198" t="s">
        <v>830</v>
      </c>
      <c r="C110" s="296">
        <v>166.7</v>
      </c>
      <c r="D110" s="296">
        <v>166.7</v>
      </c>
    </row>
    <row r="111" spans="1:4" ht="24.75" customHeight="1" x14ac:dyDescent="0.25">
      <c r="A111" s="138" t="s">
        <v>851</v>
      </c>
      <c r="B111" s="252" t="s">
        <v>110</v>
      </c>
      <c r="C111" s="189">
        <f>C134+C112+C132</f>
        <v>253104.49999999994</v>
      </c>
      <c r="D111" s="189">
        <f>D134+D112+D132</f>
        <v>260563.19999999995</v>
      </c>
    </row>
    <row r="112" spans="1:4" ht="31.5" x14ac:dyDescent="0.25">
      <c r="A112" s="138" t="s">
        <v>850</v>
      </c>
      <c r="B112" s="147" t="s">
        <v>111</v>
      </c>
      <c r="C112" s="189">
        <f t="shared" ref="C112:D112" si="21">C113</f>
        <v>252530.79999999996</v>
      </c>
      <c r="D112" s="189">
        <f t="shared" si="21"/>
        <v>259922.79999999996</v>
      </c>
    </row>
    <row r="113" spans="1:4" ht="31.5" x14ac:dyDescent="0.25">
      <c r="A113" s="215" t="s">
        <v>849</v>
      </c>
      <c r="B113" s="140" t="s">
        <v>112</v>
      </c>
      <c r="C113" s="190">
        <f>SUM(C114+C115+C116+C117+C118+C119+C120+C123+C124+C125+C126+C128+C129+C130+C131)</f>
        <v>252530.79999999996</v>
      </c>
      <c r="D113" s="190">
        <f>SUM(D114+D115+D116+D117+D118+D119+D120+D123+D124+D125+D126+D128+D129+D130+D131)</f>
        <v>259922.79999999996</v>
      </c>
    </row>
    <row r="114" spans="1:4" ht="110.25" x14ac:dyDescent="0.25">
      <c r="A114" s="385"/>
      <c r="B114" s="150" t="s">
        <v>726</v>
      </c>
      <c r="C114" s="298">
        <f>пр.1дох.20!C128</f>
        <v>143160</v>
      </c>
      <c r="D114" s="298">
        <f>C114</f>
        <v>143160</v>
      </c>
    </row>
    <row r="115" spans="1:4" ht="82.5" customHeight="1" x14ac:dyDescent="0.25">
      <c r="A115" s="386"/>
      <c r="B115" s="140" t="s">
        <v>113</v>
      </c>
      <c r="C115" s="298">
        <f>пр.1дох.20!C129</f>
        <v>80735.399999999994</v>
      </c>
      <c r="D115" s="298">
        <f t="shared" ref="D115:D126" si="22">C115</f>
        <v>80735.399999999994</v>
      </c>
    </row>
    <row r="116" spans="1:4" ht="112.7" customHeight="1" x14ac:dyDescent="0.25">
      <c r="A116" s="386"/>
      <c r="B116" s="140" t="s">
        <v>717</v>
      </c>
      <c r="C116" s="298">
        <f>пр.1дох.20!C130</f>
        <v>4743.8999999999996</v>
      </c>
      <c r="D116" s="298">
        <f t="shared" si="22"/>
        <v>4743.8999999999996</v>
      </c>
    </row>
    <row r="117" spans="1:4" ht="110.25" x14ac:dyDescent="0.25">
      <c r="A117" s="386"/>
      <c r="B117" s="140" t="s">
        <v>718</v>
      </c>
      <c r="C117" s="298">
        <f>пр.1дох.20!C131</f>
        <v>2075.4</v>
      </c>
      <c r="D117" s="298">
        <f t="shared" si="22"/>
        <v>2075.4</v>
      </c>
    </row>
    <row r="118" spans="1:4" ht="110.25" x14ac:dyDescent="0.25">
      <c r="A118" s="386"/>
      <c r="B118" s="140" t="s">
        <v>114</v>
      </c>
      <c r="C118" s="298">
        <f>пр.1дох.20!C132</f>
        <v>1433.3</v>
      </c>
      <c r="D118" s="298">
        <f t="shared" si="22"/>
        <v>1433.3</v>
      </c>
    </row>
    <row r="119" spans="1:4" ht="110.25" x14ac:dyDescent="0.25">
      <c r="A119" s="386"/>
      <c r="B119" s="140" t="s">
        <v>115</v>
      </c>
      <c r="C119" s="298">
        <f>пр.1дох.20!C133</f>
        <v>288.8</v>
      </c>
      <c r="D119" s="298">
        <f t="shared" si="22"/>
        <v>288.8</v>
      </c>
    </row>
    <row r="120" spans="1:4" ht="47.25" x14ac:dyDescent="0.25">
      <c r="A120" s="386"/>
      <c r="B120" s="140" t="s">
        <v>116</v>
      </c>
      <c r="C120" s="298">
        <f>пр.1дох.20!C134</f>
        <v>3621.3999999999996</v>
      </c>
      <c r="D120" s="298">
        <f t="shared" si="22"/>
        <v>3621.3999999999996</v>
      </c>
    </row>
    <row r="121" spans="1:4" ht="31.5" x14ac:dyDescent="0.25">
      <c r="A121" s="386"/>
      <c r="B121" s="153" t="s">
        <v>719</v>
      </c>
      <c r="C121" s="298">
        <f>пр.1дох.20!C135</f>
        <v>2829.1</v>
      </c>
      <c r="D121" s="298">
        <f t="shared" si="22"/>
        <v>2829.1</v>
      </c>
    </row>
    <row r="122" spans="1:4" ht="31.5" x14ac:dyDescent="0.25">
      <c r="A122" s="386"/>
      <c r="B122" s="153" t="s">
        <v>720</v>
      </c>
      <c r="C122" s="298">
        <f>пр.1дох.20!C136</f>
        <v>792.3</v>
      </c>
      <c r="D122" s="298">
        <f t="shared" si="22"/>
        <v>792.3</v>
      </c>
    </row>
    <row r="123" spans="1:4" ht="126" x14ac:dyDescent="0.25">
      <c r="A123" s="386"/>
      <c r="B123" s="140" t="s">
        <v>844</v>
      </c>
      <c r="C123" s="298">
        <f>пр.1дох.20!C137</f>
        <v>319.7</v>
      </c>
      <c r="D123" s="298">
        <f t="shared" si="22"/>
        <v>319.7</v>
      </c>
    </row>
    <row r="124" spans="1:4" ht="126" x14ac:dyDescent="0.25">
      <c r="A124" s="386"/>
      <c r="B124" s="140" t="s">
        <v>117</v>
      </c>
      <c r="C124" s="298">
        <f>пр.1дох.20!C138</f>
        <v>923.4</v>
      </c>
      <c r="D124" s="298">
        <f t="shared" si="22"/>
        <v>923.4</v>
      </c>
    </row>
    <row r="125" spans="1:4" ht="47.25" x14ac:dyDescent="0.25">
      <c r="A125" s="386"/>
      <c r="B125" s="140" t="s">
        <v>118</v>
      </c>
      <c r="C125" s="298">
        <f>пр.1дох.20!C139</f>
        <v>1115.9000000000001</v>
      </c>
      <c r="D125" s="298">
        <f t="shared" si="22"/>
        <v>1115.9000000000001</v>
      </c>
    </row>
    <row r="126" spans="1:4" ht="157.5" x14ac:dyDescent="0.25">
      <c r="A126" s="386"/>
      <c r="B126" s="345" t="s">
        <v>1389</v>
      </c>
      <c r="C126" s="298">
        <v>22</v>
      </c>
      <c r="D126" s="298">
        <f t="shared" si="22"/>
        <v>22</v>
      </c>
    </row>
    <row r="127" spans="1:4" s="217" customFormat="1" ht="115.5" hidden="1" customHeight="1" x14ac:dyDescent="0.25">
      <c r="A127" s="386"/>
      <c r="B127" s="281" t="s">
        <v>1394</v>
      </c>
      <c r="C127" s="298"/>
      <c r="D127" s="298"/>
    </row>
    <row r="128" spans="1:4" s="217" customFormat="1" ht="48.2" customHeight="1" x14ac:dyDescent="0.25">
      <c r="A128" s="387"/>
      <c r="B128" s="140" t="s">
        <v>1306</v>
      </c>
      <c r="C128" s="298">
        <f>пр.1дох.20!C142</f>
        <v>1914.5</v>
      </c>
      <c r="D128" s="298">
        <f>1914.5+7392</f>
        <v>9306.5</v>
      </c>
    </row>
    <row r="129" spans="1:8" s="331" customFormat="1" ht="120.75" customHeight="1" x14ac:dyDescent="0.25">
      <c r="A129" s="349"/>
      <c r="B129" s="154" t="s">
        <v>1501</v>
      </c>
      <c r="C129" s="298">
        <v>9263</v>
      </c>
      <c r="D129" s="298">
        <f>C129</f>
        <v>9263</v>
      </c>
    </row>
    <row r="130" spans="1:8" s="331" customFormat="1" ht="129.19999999999999" customHeight="1" x14ac:dyDescent="0.25">
      <c r="A130" s="349"/>
      <c r="B130" s="154" t="s">
        <v>1502</v>
      </c>
      <c r="C130" s="298">
        <v>2100.6</v>
      </c>
      <c r="D130" s="298">
        <f t="shared" ref="D130:D131" si="23">C130</f>
        <v>2100.6</v>
      </c>
    </row>
    <row r="131" spans="1:8" s="331" customFormat="1" ht="132" customHeight="1" x14ac:dyDescent="0.25">
      <c r="A131" s="349"/>
      <c r="B131" s="154" t="s">
        <v>1503</v>
      </c>
      <c r="C131" s="298">
        <v>813.5</v>
      </c>
      <c r="D131" s="298">
        <f t="shared" si="23"/>
        <v>813.5</v>
      </c>
    </row>
    <row r="132" spans="1:8" s="217" customFormat="1" ht="63" x14ac:dyDescent="0.25">
      <c r="A132" s="138" t="s">
        <v>1396</v>
      </c>
      <c r="B132" s="223" t="s">
        <v>1398</v>
      </c>
      <c r="C132" s="302">
        <f>C133</f>
        <v>6.3</v>
      </c>
      <c r="D132" s="302">
        <f>D133</f>
        <v>51</v>
      </c>
    </row>
    <row r="133" spans="1:8" s="217" customFormat="1" ht="63" x14ac:dyDescent="0.25">
      <c r="A133" s="215" t="s">
        <v>1397</v>
      </c>
      <c r="B133" s="99" t="s">
        <v>1398</v>
      </c>
      <c r="C133" s="298">
        <v>6.3</v>
      </c>
      <c r="D133" s="298">
        <v>51</v>
      </c>
    </row>
    <row r="134" spans="1:8" ht="31.5" x14ac:dyDescent="0.25">
      <c r="A134" s="138" t="s">
        <v>848</v>
      </c>
      <c r="B134" s="147" t="s">
        <v>119</v>
      </c>
      <c r="C134" s="189">
        <f t="shared" ref="C134:D134" si="24">C135</f>
        <v>567.4</v>
      </c>
      <c r="D134" s="189">
        <f t="shared" si="24"/>
        <v>589.4</v>
      </c>
    </row>
    <row r="135" spans="1:8" ht="31.5" x14ac:dyDescent="0.25">
      <c r="A135" s="215" t="s">
        <v>847</v>
      </c>
      <c r="B135" s="140" t="s">
        <v>120</v>
      </c>
      <c r="C135" s="190">
        <v>567.4</v>
      </c>
      <c r="D135" s="190">
        <v>589.4</v>
      </c>
    </row>
    <row r="136" spans="1:8" ht="18.75" x14ac:dyDescent="0.25">
      <c r="A136" s="138" t="s">
        <v>846</v>
      </c>
      <c r="B136" s="147" t="s">
        <v>121</v>
      </c>
      <c r="C136" s="189">
        <f>SUM(C138)</f>
        <v>2636.6</v>
      </c>
      <c r="D136" s="189">
        <f>SUM(D138)</f>
        <v>2636.6</v>
      </c>
    </row>
    <row r="137" spans="1:8" ht="18.75" x14ac:dyDescent="0.25">
      <c r="A137" s="138" t="s">
        <v>845</v>
      </c>
      <c r="B137" s="147" t="s">
        <v>122</v>
      </c>
      <c r="C137" s="189">
        <f t="shared" ref="C137:D137" si="25">C138</f>
        <v>2636.6</v>
      </c>
      <c r="D137" s="189">
        <f t="shared" si="25"/>
        <v>2636.6</v>
      </c>
    </row>
    <row r="138" spans="1:8" s="217" customFormat="1" ht="31.5" x14ac:dyDescent="0.25">
      <c r="A138" s="215" t="s">
        <v>857</v>
      </c>
      <c r="B138" s="140" t="s">
        <v>1335</v>
      </c>
      <c r="C138" s="190">
        <f>SUM(C139:C142)</f>
        <v>2636.6</v>
      </c>
      <c r="D138" s="190">
        <f>SUM(D139:D142)</f>
        <v>2636.6</v>
      </c>
    </row>
    <row r="139" spans="1:8" ht="126" hidden="1" x14ac:dyDescent="0.25">
      <c r="A139" s="385"/>
      <c r="B139" s="154" t="s">
        <v>811</v>
      </c>
      <c r="C139" s="191">
        <v>0</v>
      </c>
      <c r="D139" s="191">
        <f>C139</f>
        <v>0</v>
      </c>
    </row>
    <row r="140" spans="1:8" ht="141.75" hidden="1" x14ac:dyDescent="0.25">
      <c r="A140" s="386"/>
      <c r="B140" s="154" t="s">
        <v>812</v>
      </c>
      <c r="C140" s="191">
        <v>0</v>
      </c>
      <c r="D140" s="191">
        <f t="shared" ref="D140:D141" si="26">C140</f>
        <v>0</v>
      </c>
    </row>
    <row r="141" spans="1:8" ht="126" hidden="1" x14ac:dyDescent="0.25">
      <c r="A141" s="387"/>
      <c r="B141" s="154" t="s">
        <v>875</v>
      </c>
      <c r="C141" s="191">
        <v>0</v>
      </c>
      <c r="D141" s="191">
        <f t="shared" si="26"/>
        <v>0</v>
      </c>
    </row>
    <row r="142" spans="1:8" s="331" customFormat="1" ht="78.75" x14ac:dyDescent="0.25">
      <c r="A142" s="359" t="s">
        <v>1531</v>
      </c>
      <c r="B142" s="360" t="s">
        <v>1533</v>
      </c>
      <c r="C142" s="329">
        <v>2636.6</v>
      </c>
      <c r="D142" s="329">
        <v>2636.6</v>
      </c>
      <c r="H142" s="331" t="s">
        <v>1529</v>
      </c>
    </row>
    <row r="143" spans="1:8" ht="18.75" hidden="1" x14ac:dyDescent="0.25">
      <c r="A143" s="19" t="s">
        <v>807</v>
      </c>
      <c r="B143" s="199" t="s">
        <v>808</v>
      </c>
      <c r="C143" s="200">
        <f>SUM(C144)</f>
        <v>0</v>
      </c>
      <c r="D143" s="200">
        <f>SUM(D144)</f>
        <v>0</v>
      </c>
    </row>
    <row r="144" spans="1:8" ht="31.5" hidden="1" x14ac:dyDescent="0.25">
      <c r="A144" s="19" t="s">
        <v>809</v>
      </c>
      <c r="B144" s="199" t="s">
        <v>810</v>
      </c>
      <c r="C144" s="200">
        <f>SUM(C145)</f>
        <v>0</v>
      </c>
      <c r="D144" s="200">
        <f>SUM(D145)</f>
        <v>0</v>
      </c>
    </row>
    <row r="145" spans="1:4" ht="18.75" hidden="1" x14ac:dyDescent="0.25">
      <c r="A145" s="383" t="s">
        <v>880</v>
      </c>
      <c r="B145" s="203" t="s">
        <v>810</v>
      </c>
      <c r="C145" s="200">
        <f>SUM(C147:C148)</f>
        <v>0</v>
      </c>
      <c r="D145" s="200">
        <f>SUM(D147:D148)</f>
        <v>0</v>
      </c>
    </row>
    <row r="146" spans="1:4" ht="18.75" hidden="1" x14ac:dyDescent="0.25">
      <c r="A146" s="384"/>
      <c r="B146" s="203" t="s">
        <v>108</v>
      </c>
      <c r="C146" s="200"/>
      <c r="D146" s="200"/>
    </row>
    <row r="147" spans="1:4" ht="94.5" hidden="1" x14ac:dyDescent="0.25">
      <c r="A147" s="384"/>
      <c r="B147" s="201" t="s">
        <v>877</v>
      </c>
      <c r="C147" s="191">
        <v>0</v>
      </c>
      <c r="D147" s="191">
        <v>0</v>
      </c>
    </row>
    <row r="148" spans="1:4" ht="78.75" hidden="1" x14ac:dyDescent="0.25">
      <c r="A148" s="388"/>
      <c r="B148" s="201" t="s">
        <v>878</v>
      </c>
      <c r="C148" s="191">
        <v>0</v>
      </c>
      <c r="D148" s="191">
        <v>0</v>
      </c>
    </row>
    <row r="149" spans="1:4" ht="18.75" x14ac:dyDescent="0.25">
      <c r="A149" s="215"/>
      <c r="B149" s="195" t="s">
        <v>123</v>
      </c>
      <c r="C149" s="189">
        <f>SUM(C10+C74)</f>
        <v>732085.63199999998</v>
      </c>
      <c r="D149" s="189">
        <f>SUM(D10+D74)</f>
        <v>735832.82</v>
      </c>
    </row>
    <row r="151" spans="1:4" x14ac:dyDescent="0.25">
      <c r="C151" s="332">
        <v>729449.03200000001</v>
      </c>
      <c r="D151" s="332">
        <v>733196.22</v>
      </c>
    </row>
    <row r="152" spans="1:4" x14ac:dyDescent="0.25">
      <c r="C152" s="116">
        <f>C151-C149</f>
        <v>-2636.5999999999767</v>
      </c>
      <c r="D152" s="116">
        <f>D151-D149</f>
        <v>-2636.5999999999767</v>
      </c>
    </row>
  </sheetData>
  <mergeCells count="7">
    <mergeCell ref="A145:A148"/>
    <mergeCell ref="A5:D5"/>
    <mergeCell ref="A6:D6"/>
    <mergeCell ref="A7:D7"/>
    <mergeCell ref="A98:A110"/>
    <mergeCell ref="A114:A128"/>
    <mergeCell ref="A139:A141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1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Normal="100" zoomScaleSheetLayoutView="100" workbookViewId="0">
      <selection activeCell="E1" sqref="E1:E5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customWidth="1"/>
    <col min="5" max="6" width="14.42578125" style="331" customWidth="1"/>
  </cols>
  <sheetData>
    <row r="1" spans="1:6" ht="15.75" x14ac:dyDescent="0.25">
      <c r="A1" s="11"/>
      <c r="C1" s="11"/>
      <c r="D1" s="130"/>
      <c r="E1" s="378" t="s">
        <v>1551</v>
      </c>
      <c r="F1" s="130"/>
    </row>
    <row r="2" spans="1:6" ht="15.75" x14ac:dyDescent="0.25">
      <c r="A2" s="11"/>
      <c r="C2" s="11"/>
      <c r="D2" s="130"/>
      <c r="E2" s="378" t="s">
        <v>1552</v>
      </c>
      <c r="F2" s="130"/>
    </row>
    <row r="3" spans="1:6" ht="18.75" x14ac:dyDescent="0.3">
      <c r="A3" s="11"/>
      <c r="B3" s="155"/>
      <c r="C3" s="11"/>
      <c r="D3" s="366"/>
      <c r="E3" s="379" t="s">
        <v>1579</v>
      </c>
      <c r="F3" s="366"/>
    </row>
    <row r="4" spans="1:6" s="331" customFormat="1" ht="18.75" x14ac:dyDescent="0.3">
      <c r="A4" s="11"/>
      <c r="B4" s="155"/>
      <c r="C4" s="11"/>
      <c r="D4" s="366"/>
      <c r="E4" s="379" t="s">
        <v>1580</v>
      </c>
      <c r="F4" s="366"/>
    </row>
    <row r="5" spans="1:6" s="331" customFormat="1" ht="18.75" x14ac:dyDescent="0.3">
      <c r="A5" s="11"/>
      <c r="B5" s="155"/>
      <c r="C5" s="11"/>
      <c r="D5" s="366"/>
      <c r="E5" s="379" t="s">
        <v>1581</v>
      </c>
      <c r="F5" s="366"/>
    </row>
    <row r="6" spans="1:6" s="331" customFormat="1" ht="18.75" x14ac:dyDescent="0.3">
      <c r="A6" s="11"/>
      <c r="B6" s="155"/>
      <c r="C6" s="11"/>
      <c r="D6" s="130"/>
      <c r="E6" s="130"/>
      <c r="F6" s="130"/>
    </row>
    <row r="7" spans="1:6" s="331" customFormat="1" ht="15.75" x14ac:dyDescent="0.25">
      <c r="A7" s="389" t="s">
        <v>1553</v>
      </c>
      <c r="B7" s="389"/>
      <c r="C7" s="389"/>
      <c r="D7" s="389"/>
      <c r="E7" s="389"/>
      <c r="F7" s="389"/>
    </row>
    <row r="8" spans="1:6" s="331" customFormat="1" ht="15.75" x14ac:dyDescent="0.25">
      <c r="A8" s="389" t="s">
        <v>1554</v>
      </c>
      <c r="B8" s="389"/>
      <c r="C8" s="389"/>
      <c r="D8" s="389"/>
      <c r="E8" s="389"/>
      <c r="F8" s="389"/>
    </row>
    <row r="9" spans="1:6" s="331" customFormat="1" x14ac:dyDescent="0.25">
      <c r="B9" s="90"/>
      <c r="C9" s="90"/>
      <c r="D9" s="193"/>
      <c r="E9" s="193"/>
      <c r="F9" s="193"/>
    </row>
    <row r="10" spans="1:6" s="331" customFormat="1" ht="66.2" customHeight="1" x14ac:dyDescent="0.25">
      <c r="A10" s="91" t="s">
        <v>692</v>
      </c>
      <c r="B10" s="91" t="s">
        <v>693</v>
      </c>
      <c r="C10" s="91" t="s">
        <v>694</v>
      </c>
      <c r="D10" s="239" t="s">
        <v>1547</v>
      </c>
      <c r="E10" s="215" t="s">
        <v>1548</v>
      </c>
      <c r="F10" s="215" t="s">
        <v>1549</v>
      </c>
    </row>
    <row r="11" spans="1:6" ht="15.75" x14ac:dyDescent="0.25">
      <c r="A11" s="47" t="s">
        <v>133</v>
      </c>
      <c r="B11" s="24" t="s">
        <v>134</v>
      </c>
      <c r="C11" s="92"/>
      <c r="D11" s="93">
        <f>SUM(D12:D17)</f>
        <v>138868.20000000001</v>
      </c>
      <c r="E11" s="93">
        <f t="shared" ref="E11" si="0">SUM(E12:E17)</f>
        <v>68470.66</v>
      </c>
      <c r="F11" s="93">
        <f>E11/D11*100</f>
        <v>49.306219854509528</v>
      </c>
    </row>
    <row r="12" spans="1:6" ht="31.5" x14ac:dyDescent="0.25">
      <c r="A12" s="31" t="s">
        <v>591</v>
      </c>
      <c r="B12" s="20" t="s">
        <v>134</v>
      </c>
      <c r="C12" s="20" t="s">
        <v>229</v>
      </c>
      <c r="D12" s="27">
        <f>'Пр.3 Рд,пр, ЦС,ВР 20'!F11</f>
        <v>4343.7</v>
      </c>
      <c r="E12" s="344">
        <f>'Пр.3 Рд,пр, ЦС,ВР 20'!G11</f>
        <v>2805.6</v>
      </c>
      <c r="F12" s="243">
        <f t="shared" ref="F12:F51" si="1">E12/D12*100</f>
        <v>64.590096001105053</v>
      </c>
    </row>
    <row r="13" spans="1:6" ht="47.25" x14ac:dyDescent="0.25">
      <c r="A13" s="31" t="s">
        <v>594</v>
      </c>
      <c r="B13" s="20" t="s">
        <v>134</v>
      </c>
      <c r="C13" s="20" t="s">
        <v>231</v>
      </c>
      <c r="D13" s="27">
        <f>'Пр.3 Рд,пр, ЦС,ВР 20'!F30</f>
        <v>1143</v>
      </c>
      <c r="E13" s="344">
        <f>'Пр.3 Рд,пр, ЦС,ВР 20'!G30</f>
        <v>542.67999999999995</v>
      </c>
      <c r="F13" s="243">
        <f t="shared" si="1"/>
        <v>47.478565179352579</v>
      </c>
    </row>
    <row r="14" spans="1:6" ht="47.25" x14ac:dyDescent="0.25">
      <c r="A14" s="25" t="s">
        <v>165</v>
      </c>
      <c r="B14" s="20" t="s">
        <v>134</v>
      </c>
      <c r="C14" s="20" t="s">
        <v>166</v>
      </c>
      <c r="D14" s="27">
        <f>'Пр.3 Рд,пр, ЦС,ВР 20'!F41</f>
        <v>66119.100000000006</v>
      </c>
      <c r="E14" s="344">
        <f>'Пр.3 Рд,пр, ЦС,ВР 20'!G41</f>
        <v>32728.1</v>
      </c>
      <c r="F14" s="243">
        <f t="shared" si="1"/>
        <v>49.498707635161395</v>
      </c>
    </row>
    <row r="15" spans="1:6" ht="31.5" x14ac:dyDescent="0.25">
      <c r="A15" s="25" t="s">
        <v>135</v>
      </c>
      <c r="B15" s="20" t="s">
        <v>134</v>
      </c>
      <c r="C15" s="20" t="s">
        <v>136</v>
      </c>
      <c r="D15" s="27">
        <f>'Пр.3 Рд,пр, ЦС,ВР 20'!F104</f>
        <v>16220.2</v>
      </c>
      <c r="E15" s="344">
        <f>'Пр.3 Рд,пр, ЦС,ВР 20'!G104</f>
        <v>7178.59</v>
      </c>
      <c r="F15" s="243">
        <f t="shared" si="1"/>
        <v>44.257099172636586</v>
      </c>
    </row>
    <row r="16" spans="1:6" s="217" customFormat="1" ht="15.75" x14ac:dyDescent="0.25">
      <c r="A16" s="25" t="s">
        <v>1369</v>
      </c>
      <c r="B16" s="20" t="s">
        <v>134</v>
      </c>
      <c r="C16" s="20" t="s">
        <v>280</v>
      </c>
      <c r="D16" s="27">
        <f>'Пр.3 Рд,пр, ЦС,ВР 20'!F126</f>
        <v>158.38</v>
      </c>
      <c r="E16" s="344">
        <f>'Пр.3 Рд,пр, ЦС,ВР 20'!G126</f>
        <v>0</v>
      </c>
      <c r="F16" s="243">
        <f t="shared" si="1"/>
        <v>0</v>
      </c>
    </row>
    <row r="17" spans="1:6" ht="15.75" x14ac:dyDescent="0.25">
      <c r="A17" s="94" t="s">
        <v>155</v>
      </c>
      <c r="B17" s="20" t="s">
        <v>134</v>
      </c>
      <c r="C17" s="20" t="s">
        <v>156</v>
      </c>
      <c r="D17" s="27">
        <f>'Пр.3 Рд,пр, ЦС,ВР 20'!F134</f>
        <v>50883.819999999992</v>
      </c>
      <c r="E17" s="344">
        <f>'Пр.3 Рд,пр, ЦС,ВР 20'!G134</f>
        <v>25215.69</v>
      </c>
      <c r="F17" s="243">
        <f t="shared" si="1"/>
        <v>49.555418598682259</v>
      </c>
    </row>
    <row r="18" spans="1:6" ht="15.75" hidden="1" x14ac:dyDescent="0.25">
      <c r="A18" s="19" t="s">
        <v>228</v>
      </c>
      <c r="B18" s="24" t="s">
        <v>229</v>
      </c>
      <c r="C18" s="20"/>
      <c r="D18" s="44">
        <f t="shared" ref="D18:E18" si="2">D19</f>
        <v>0</v>
      </c>
      <c r="E18" s="44">
        <f t="shared" si="2"/>
        <v>0</v>
      </c>
      <c r="F18" s="243" t="e">
        <f t="shared" si="1"/>
        <v>#DIV/0!</v>
      </c>
    </row>
    <row r="19" spans="1:6" ht="15.75" hidden="1" x14ac:dyDescent="0.25">
      <c r="A19" s="25" t="s">
        <v>234</v>
      </c>
      <c r="B19" s="20" t="s">
        <v>229</v>
      </c>
      <c r="C19" s="20" t="s">
        <v>235</v>
      </c>
      <c r="D19" s="27"/>
      <c r="E19" s="344"/>
      <c r="F19" s="243" t="e">
        <f t="shared" si="1"/>
        <v>#DIV/0!</v>
      </c>
    </row>
    <row r="20" spans="1:6" ht="18" customHeight="1" x14ac:dyDescent="0.25">
      <c r="A20" s="34" t="s">
        <v>238</v>
      </c>
      <c r="B20" s="24" t="s">
        <v>231</v>
      </c>
      <c r="C20" s="24"/>
      <c r="D20" s="44">
        <f t="shared" ref="D20:E20" si="3">D21</f>
        <v>7966.4</v>
      </c>
      <c r="E20" s="44">
        <f t="shared" si="3"/>
        <v>3209.7000000000003</v>
      </c>
      <c r="F20" s="93">
        <f t="shared" si="1"/>
        <v>40.290469973890346</v>
      </c>
    </row>
    <row r="21" spans="1:6" ht="31.5" x14ac:dyDescent="0.25">
      <c r="A21" s="31" t="s">
        <v>239</v>
      </c>
      <c r="B21" s="20" t="s">
        <v>231</v>
      </c>
      <c r="C21" s="20" t="s">
        <v>235</v>
      </c>
      <c r="D21" s="27">
        <f>'Пр.3 Рд,пр, ЦС,ВР 20'!F230</f>
        <v>7966.4</v>
      </c>
      <c r="E21" s="344">
        <f>'Пр.3 Рд,пр, ЦС,ВР 20'!G230</f>
        <v>3209.7000000000003</v>
      </c>
      <c r="F21" s="243">
        <f t="shared" si="1"/>
        <v>40.290469973890346</v>
      </c>
    </row>
    <row r="22" spans="1:6" ht="15.75" x14ac:dyDescent="0.25">
      <c r="A22" s="47" t="s">
        <v>248</v>
      </c>
      <c r="B22" s="24" t="s">
        <v>166</v>
      </c>
      <c r="C22" s="24"/>
      <c r="D22" s="44">
        <f t="shared" ref="D22:E22" si="4">D23+D24+D25+D26</f>
        <v>8168.8</v>
      </c>
      <c r="E22" s="44">
        <f t="shared" si="4"/>
        <v>3041.87</v>
      </c>
      <c r="F22" s="93">
        <f t="shared" si="1"/>
        <v>37.237660366271662</v>
      </c>
    </row>
    <row r="23" spans="1:6" ht="15.75" x14ac:dyDescent="0.25">
      <c r="A23" s="95" t="s">
        <v>249</v>
      </c>
      <c r="B23" s="20" t="s">
        <v>166</v>
      </c>
      <c r="C23" s="20" t="s">
        <v>250</v>
      </c>
      <c r="D23" s="27">
        <f>'Пр.3 Рд,пр, ЦС,ВР 20'!F249</f>
        <v>306</v>
      </c>
      <c r="E23" s="344">
        <f>'Пр.3 Рд,пр, ЦС,ВР 20'!G249</f>
        <v>91</v>
      </c>
      <c r="F23" s="243">
        <f t="shared" si="1"/>
        <v>29.738562091503269</v>
      </c>
    </row>
    <row r="24" spans="1:6" ht="15.75" x14ac:dyDescent="0.25">
      <c r="A24" s="94" t="s">
        <v>521</v>
      </c>
      <c r="B24" s="20" t="s">
        <v>166</v>
      </c>
      <c r="C24" s="20" t="s">
        <v>315</v>
      </c>
      <c r="D24" s="27">
        <f>'Пр.3 Рд,пр, ЦС,ВР 20'!F262</f>
        <v>3258</v>
      </c>
      <c r="E24" s="344">
        <f>'Пр.3 Рд,пр, ЦС,ВР 20'!G262</f>
        <v>1304.5999999999999</v>
      </c>
      <c r="F24" s="243">
        <f t="shared" si="1"/>
        <v>40.042971147943526</v>
      </c>
    </row>
    <row r="25" spans="1:6" ht="15.75" x14ac:dyDescent="0.25">
      <c r="A25" s="94" t="s">
        <v>524</v>
      </c>
      <c r="B25" s="20" t="s">
        <v>166</v>
      </c>
      <c r="C25" s="20" t="s">
        <v>235</v>
      </c>
      <c r="D25" s="27">
        <f>'Пр.3 Рд,пр, ЦС,ВР 20'!F268</f>
        <v>3446</v>
      </c>
      <c r="E25" s="344">
        <f>'Пр.3 Рд,пр, ЦС,ВР 20'!G268</f>
        <v>1556.37</v>
      </c>
      <c r="F25" s="243">
        <f t="shared" si="1"/>
        <v>45.164538595473012</v>
      </c>
    </row>
    <row r="26" spans="1:6" ht="15.75" x14ac:dyDescent="0.25">
      <c r="A26" s="96" t="s">
        <v>253</v>
      </c>
      <c r="B26" s="20" t="s">
        <v>166</v>
      </c>
      <c r="C26" s="20" t="s">
        <v>254</v>
      </c>
      <c r="D26" s="27">
        <f>'Пр.3 Рд,пр, ЦС,ВР 20'!F282</f>
        <v>1158.8</v>
      </c>
      <c r="E26" s="344">
        <f>'Пр.3 Рд,пр, ЦС,ВР 20'!G282</f>
        <v>89.9</v>
      </c>
      <c r="F26" s="243">
        <f t="shared" si="1"/>
        <v>7.7580255436658625</v>
      </c>
    </row>
    <row r="27" spans="1:6" ht="15.75" x14ac:dyDescent="0.25">
      <c r="A27" s="47" t="s">
        <v>406</v>
      </c>
      <c r="B27" s="24" t="s">
        <v>250</v>
      </c>
      <c r="C27" s="24"/>
      <c r="D27" s="44">
        <f t="shared" ref="D27:E27" si="5">SUM(D28:D31)</f>
        <v>65254</v>
      </c>
      <c r="E27" s="44">
        <f t="shared" si="5"/>
        <v>20619.130000000005</v>
      </c>
      <c r="F27" s="93">
        <f t="shared" si="1"/>
        <v>31.598262175498824</v>
      </c>
    </row>
    <row r="28" spans="1:6" ht="15.75" x14ac:dyDescent="0.25">
      <c r="A28" s="95" t="s">
        <v>407</v>
      </c>
      <c r="B28" s="20" t="s">
        <v>250</v>
      </c>
      <c r="C28" s="20" t="s">
        <v>134</v>
      </c>
      <c r="D28" s="27">
        <f>'Пр.3 Рд,пр, ЦС,ВР 20'!F331</f>
        <v>6625.4</v>
      </c>
      <c r="E28" s="344">
        <f>'Пр.3 Рд,пр, ЦС,ВР 20'!G331</f>
        <v>2866.57</v>
      </c>
      <c r="F28" s="243">
        <f t="shared" si="1"/>
        <v>43.26636882301446</v>
      </c>
    </row>
    <row r="29" spans="1:6" ht="15.75" x14ac:dyDescent="0.25">
      <c r="A29" s="95" t="s">
        <v>533</v>
      </c>
      <c r="B29" s="20" t="s">
        <v>250</v>
      </c>
      <c r="C29" s="20" t="s">
        <v>229</v>
      </c>
      <c r="D29" s="27">
        <f>'Пр.3 Рд,пр, ЦС,ВР 20'!F348</f>
        <v>30089.9</v>
      </c>
      <c r="E29" s="344">
        <f>'Пр.3 Рд,пр, ЦС,ВР 20'!G348</f>
        <v>5298.54</v>
      </c>
      <c r="F29" s="243">
        <f t="shared" si="1"/>
        <v>17.609031601966109</v>
      </c>
    </row>
    <row r="30" spans="1:6" ht="15.75" x14ac:dyDescent="0.25">
      <c r="A30" s="94" t="s">
        <v>557</v>
      </c>
      <c r="B30" s="20" t="s">
        <v>250</v>
      </c>
      <c r="C30" s="20" t="s">
        <v>231</v>
      </c>
      <c r="D30" s="27">
        <f>'Пр.3 Рд,пр, ЦС,ВР 20'!F415</f>
        <v>4384.2000000000007</v>
      </c>
      <c r="E30" s="344">
        <f>'Пр.3 Рд,пр, ЦС,ВР 20'!G415</f>
        <v>837.69</v>
      </c>
      <c r="F30" s="243">
        <f t="shared" si="1"/>
        <v>19.107020665115641</v>
      </c>
    </row>
    <row r="31" spans="1:6" ht="15.75" x14ac:dyDescent="0.25">
      <c r="A31" s="25" t="s">
        <v>585</v>
      </c>
      <c r="B31" s="20" t="s">
        <v>250</v>
      </c>
      <c r="C31" s="20" t="s">
        <v>250</v>
      </c>
      <c r="D31" s="27">
        <f>'Пр.3 Рд,пр, ЦС,ВР 20'!F466</f>
        <v>24154.5</v>
      </c>
      <c r="E31" s="344">
        <f>'Пр.3 Рд,пр, ЦС,ВР 20'!G466</f>
        <v>11616.330000000002</v>
      </c>
      <c r="F31" s="243">
        <f t="shared" si="1"/>
        <v>48.091784139601323</v>
      </c>
    </row>
    <row r="32" spans="1:6" ht="15.75" x14ac:dyDescent="0.25">
      <c r="A32" s="47" t="s">
        <v>279</v>
      </c>
      <c r="B32" s="24" t="s">
        <v>280</v>
      </c>
      <c r="C32" s="24"/>
      <c r="D32" s="44">
        <f t="shared" ref="D32:E32" si="6">SUM(D33:D37)</f>
        <v>382536.88900000002</v>
      </c>
      <c r="E32" s="44">
        <f t="shared" si="6"/>
        <v>182920.54</v>
      </c>
      <c r="F32" s="93">
        <f t="shared" si="1"/>
        <v>47.817751767202772</v>
      </c>
    </row>
    <row r="33" spans="1:6" ht="15.75" x14ac:dyDescent="0.25">
      <c r="A33" s="94" t="s">
        <v>420</v>
      </c>
      <c r="B33" s="20" t="s">
        <v>280</v>
      </c>
      <c r="C33" s="20" t="s">
        <v>134</v>
      </c>
      <c r="D33" s="27">
        <f>'Пр.3 Рд,пр, ЦС,ВР 20'!F504</f>
        <v>110390.8</v>
      </c>
      <c r="E33" s="344">
        <f>'Пр.3 Рд,пр, ЦС,ВР 20'!G504</f>
        <v>53495.360000000015</v>
      </c>
      <c r="F33" s="243">
        <f t="shared" si="1"/>
        <v>48.459980360682245</v>
      </c>
    </row>
    <row r="34" spans="1:6" ht="15.75" x14ac:dyDescent="0.25">
      <c r="A34" s="94" t="s">
        <v>441</v>
      </c>
      <c r="B34" s="20" t="s">
        <v>280</v>
      </c>
      <c r="C34" s="20" t="s">
        <v>229</v>
      </c>
      <c r="D34" s="27">
        <f>'Пр.3 Рд,пр, ЦС,ВР 20'!F575</f>
        <v>192305.78899999999</v>
      </c>
      <c r="E34" s="344">
        <f>'Пр.3 Рд,пр, ЦС,ВР 20'!G575</f>
        <v>87193.530000000013</v>
      </c>
      <c r="F34" s="243">
        <f t="shared" si="1"/>
        <v>45.341084349780033</v>
      </c>
    </row>
    <row r="35" spans="1:6" ht="15.75" x14ac:dyDescent="0.25">
      <c r="A35" s="94" t="s">
        <v>281</v>
      </c>
      <c r="B35" s="20" t="s">
        <v>280</v>
      </c>
      <c r="C35" s="20" t="s">
        <v>231</v>
      </c>
      <c r="D35" s="27">
        <f>'Пр.3 Рд,пр, ЦС,ВР 20'!F669</f>
        <v>52627.999999999993</v>
      </c>
      <c r="E35" s="344">
        <f>'Пр.3 Рд,пр, ЦС,ВР 20'!G669</f>
        <v>30261.37</v>
      </c>
      <c r="F35" s="243">
        <f t="shared" si="1"/>
        <v>57.500513034886382</v>
      </c>
    </row>
    <row r="36" spans="1:6" ht="15.75" x14ac:dyDescent="0.25">
      <c r="A36" s="94" t="s">
        <v>482</v>
      </c>
      <c r="B36" s="20" t="s">
        <v>280</v>
      </c>
      <c r="C36" s="20" t="s">
        <v>280</v>
      </c>
      <c r="D36" s="27">
        <f>'Пр.3 Рд,пр, ЦС,ВР 20'!F743</f>
        <v>6564.9</v>
      </c>
      <c r="E36" s="344">
        <f>'Пр.3 Рд,пр, ЦС,ВР 20'!G743</f>
        <v>2531.8999999999996</v>
      </c>
      <c r="F36" s="243">
        <f t="shared" si="1"/>
        <v>38.567228746820206</v>
      </c>
    </row>
    <row r="37" spans="1:6" ht="15.75" x14ac:dyDescent="0.25">
      <c r="A37" s="94" t="s">
        <v>311</v>
      </c>
      <c r="B37" s="20" t="s">
        <v>280</v>
      </c>
      <c r="C37" s="20" t="s">
        <v>235</v>
      </c>
      <c r="D37" s="27">
        <f>'Пр.3 Рд,пр, ЦС,ВР 20'!F772</f>
        <v>20647.399999999998</v>
      </c>
      <c r="E37" s="344">
        <f>'Пр.3 Рд,пр, ЦС,ВР 20'!G772</f>
        <v>9438.380000000001</v>
      </c>
      <c r="F37" s="243">
        <f t="shared" si="1"/>
        <v>45.712196208723626</v>
      </c>
    </row>
    <row r="38" spans="1:6" ht="15.75" x14ac:dyDescent="0.25">
      <c r="A38" s="97" t="s">
        <v>314</v>
      </c>
      <c r="B38" s="24" t="s">
        <v>315</v>
      </c>
      <c r="C38" s="20"/>
      <c r="D38" s="44">
        <f t="shared" ref="D38:E38" si="7">D39+D40</f>
        <v>72248.323000000004</v>
      </c>
      <c r="E38" s="44">
        <f t="shared" si="7"/>
        <v>32432.93</v>
      </c>
      <c r="F38" s="93">
        <f t="shared" si="1"/>
        <v>44.890910478295801</v>
      </c>
    </row>
    <row r="39" spans="1:6" ht="15.75" x14ac:dyDescent="0.25">
      <c r="A39" s="96" t="s">
        <v>316</v>
      </c>
      <c r="B39" s="20" t="s">
        <v>315</v>
      </c>
      <c r="C39" s="20" t="s">
        <v>134</v>
      </c>
      <c r="D39" s="27">
        <f>'Пр.3 Рд,пр, ЦС,ВР 20'!F800</f>
        <v>54353.722999999998</v>
      </c>
      <c r="E39" s="344">
        <f>'Пр.3 Рд,пр, ЦС,ВР 20'!G800</f>
        <v>24101.48</v>
      </c>
      <c r="F39" s="243">
        <f t="shared" si="1"/>
        <v>44.341911960658152</v>
      </c>
    </row>
    <row r="40" spans="1:6" ht="15.75" x14ac:dyDescent="0.25">
      <c r="A40" s="96" t="s">
        <v>349</v>
      </c>
      <c r="B40" s="20" t="s">
        <v>315</v>
      </c>
      <c r="C40" s="20" t="s">
        <v>166</v>
      </c>
      <c r="D40" s="27">
        <f>'Пр.3 Рд,пр, ЦС,ВР 20'!F876</f>
        <v>17894.599999999999</v>
      </c>
      <c r="E40" s="344">
        <f>'Пр.3 Рд,пр, ЦС,ВР 20'!G876</f>
        <v>8331.4500000000007</v>
      </c>
      <c r="F40" s="243">
        <f t="shared" si="1"/>
        <v>46.558458976451007</v>
      </c>
    </row>
    <row r="41" spans="1:6" ht="15.75" x14ac:dyDescent="0.25">
      <c r="A41" s="47" t="s">
        <v>259</v>
      </c>
      <c r="B41" s="24" t="s">
        <v>260</v>
      </c>
      <c r="C41" s="24"/>
      <c r="D41" s="44">
        <f>SUM(D42:D45)</f>
        <v>16582.400000000001</v>
      </c>
      <c r="E41" s="44">
        <f t="shared" ref="E41" si="8">SUM(E42:E45)</f>
        <v>7785.95</v>
      </c>
      <c r="F41" s="93">
        <f t="shared" si="1"/>
        <v>46.953094847549202</v>
      </c>
    </row>
    <row r="42" spans="1:6" ht="15.75" x14ac:dyDescent="0.25">
      <c r="A42" s="94" t="s">
        <v>261</v>
      </c>
      <c r="B42" s="20" t="s">
        <v>260</v>
      </c>
      <c r="C42" s="20" t="s">
        <v>134</v>
      </c>
      <c r="D42" s="27">
        <f>'Пр.3 Рд,пр, ЦС,ВР 20'!F906</f>
        <v>9456</v>
      </c>
      <c r="E42" s="344">
        <f>'Пр.3 Рд,пр, ЦС,ВР 20'!G906</f>
        <v>5985.4</v>
      </c>
      <c r="F42" s="243">
        <f t="shared" si="1"/>
        <v>63.29737732656514</v>
      </c>
    </row>
    <row r="43" spans="1:6" ht="15.75" x14ac:dyDescent="0.25">
      <c r="A43" s="25" t="s">
        <v>268</v>
      </c>
      <c r="B43" s="20" t="s">
        <v>260</v>
      </c>
      <c r="C43" s="20" t="s">
        <v>231</v>
      </c>
      <c r="D43" s="27">
        <f>'Пр.3 Рд,пр, ЦС,ВР 20'!F912</f>
        <v>1959.2</v>
      </c>
      <c r="E43" s="344">
        <f>'Пр.3 Рд,пр, ЦС,ВР 20'!G912</f>
        <v>475.55</v>
      </c>
      <c r="F43" s="243">
        <f t="shared" si="1"/>
        <v>24.272662311147407</v>
      </c>
    </row>
    <row r="44" spans="1:6" s="217" customFormat="1" ht="15.75" x14ac:dyDescent="0.25">
      <c r="A44" s="25" t="s">
        <v>416</v>
      </c>
      <c r="B44" s="20" t="s">
        <v>260</v>
      </c>
      <c r="C44" s="20" t="s">
        <v>166</v>
      </c>
      <c r="D44" s="27">
        <f>'Пр.3 Рд,пр, ЦС,ВР 20'!F945</f>
        <v>1431.2</v>
      </c>
      <c r="E44" s="344">
        <f>'Пр.3 Рд,пр, ЦС,ВР 20'!G945</f>
        <v>0</v>
      </c>
      <c r="F44" s="243">
        <f t="shared" si="1"/>
        <v>0</v>
      </c>
    </row>
    <row r="45" spans="1:6" ht="15.75" x14ac:dyDescent="0.25">
      <c r="A45" s="25" t="s">
        <v>274</v>
      </c>
      <c r="B45" s="20" t="s">
        <v>260</v>
      </c>
      <c r="C45" s="20" t="s">
        <v>136</v>
      </c>
      <c r="D45" s="27">
        <f>'Пр.3 Рд,пр, ЦС,ВР 20'!F950</f>
        <v>3736</v>
      </c>
      <c r="E45" s="344">
        <f>'Пр.3 Рд,пр, ЦС,ВР 20'!G950</f>
        <v>1325</v>
      </c>
      <c r="F45" s="243">
        <f t="shared" si="1"/>
        <v>35.465738758029978</v>
      </c>
    </row>
    <row r="46" spans="1:6" ht="15.75" x14ac:dyDescent="0.25">
      <c r="A46" s="97" t="s">
        <v>506</v>
      </c>
      <c r="B46" s="24" t="s">
        <v>507</v>
      </c>
      <c r="C46" s="20"/>
      <c r="D46" s="44">
        <f t="shared" ref="D46:E46" si="9">D47+D48</f>
        <v>66064.7304</v>
      </c>
      <c r="E46" s="44">
        <f t="shared" si="9"/>
        <v>32152.149999999998</v>
      </c>
      <c r="F46" s="93">
        <f t="shared" si="1"/>
        <v>48.667647329111027</v>
      </c>
    </row>
    <row r="47" spans="1:6" ht="15.75" x14ac:dyDescent="0.25">
      <c r="A47" s="96" t="s">
        <v>508</v>
      </c>
      <c r="B47" s="20" t="s">
        <v>507</v>
      </c>
      <c r="C47" s="20" t="s">
        <v>134</v>
      </c>
      <c r="D47" s="27">
        <f>'Пр.3 Рд,пр, ЦС,ВР 20'!F964</f>
        <v>52846.530400000003</v>
      </c>
      <c r="E47" s="344">
        <f>'Пр.3 Рд,пр, ЦС,ВР 20'!G964</f>
        <v>25763.1</v>
      </c>
      <c r="F47" s="243">
        <f t="shared" si="1"/>
        <v>48.750787998751946</v>
      </c>
    </row>
    <row r="48" spans="1:6" ht="15.75" x14ac:dyDescent="0.25">
      <c r="A48" s="96" t="s">
        <v>516</v>
      </c>
      <c r="B48" s="20" t="s">
        <v>507</v>
      </c>
      <c r="C48" s="20" t="s">
        <v>250</v>
      </c>
      <c r="D48" s="27">
        <f>'Пр.3 Рд,пр, ЦС,ВР 20'!F1021</f>
        <v>13218.2</v>
      </c>
      <c r="E48" s="344">
        <f>'Пр.3 Рд,пр, ЦС,ВР 20'!G1021</f>
        <v>6389.05</v>
      </c>
      <c r="F48" s="243">
        <f t="shared" si="1"/>
        <v>48.335249882737436</v>
      </c>
    </row>
    <row r="49" spans="1:6" ht="15.75" x14ac:dyDescent="0.25">
      <c r="A49" s="19" t="s">
        <v>598</v>
      </c>
      <c r="B49" s="24" t="s">
        <v>254</v>
      </c>
      <c r="C49" s="20"/>
      <c r="D49" s="44">
        <f t="shared" ref="D49:E49" si="10">D50</f>
        <v>6661</v>
      </c>
      <c r="E49" s="44">
        <f t="shared" si="10"/>
        <v>3558.0699999999997</v>
      </c>
      <c r="F49" s="93">
        <f t="shared" si="1"/>
        <v>53.416453985888005</v>
      </c>
    </row>
    <row r="50" spans="1:6" ht="15.75" x14ac:dyDescent="0.25">
      <c r="A50" s="31" t="s">
        <v>599</v>
      </c>
      <c r="B50" s="20" t="s">
        <v>254</v>
      </c>
      <c r="C50" s="20" t="s">
        <v>229</v>
      </c>
      <c r="D50" s="27">
        <f>'Пр.3 Рд,пр, ЦС,ВР 20'!F1051</f>
        <v>6661</v>
      </c>
      <c r="E50" s="344">
        <f>'Пр.3 Рд,пр, ЦС,ВР 20'!G1051</f>
        <v>3558.0699999999997</v>
      </c>
      <c r="F50" s="243">
        <f t="shared" si="1"/>
        <v>53.416453985888005</v>
      </c>
    </row>
    <row r="51" spans="1:6" ht="15.75" x14ac:dyDescent="0.25">
      <c r="A51" s="92" t="s">
        <v>695</v>
      </c>
      <c r="B51" s="24"/>
      <c r="C51" s="24"/>
      <c r="D51" s="44">
        <f>D11+D20+D22+D27+D32+D38+D41+D46+D49+D18</f>
        <v>764350.74239999999</v>
      </c>
      <c r="E51" s="44">
        <f t="shared" ref="E51" si="11">E11+E20+E22+E27+E32+E38+E41+E46+E49+E18</f>
        <v>354191.00000000006</v>
      </c>
      <c r="F51" s="93">
        <f t="shared" si="1"/>
        <v>46.338804995186997</v>
      </c>
    </row>
    <row r="52" spans="1:6" hidden="1" x14ac:dyDescent="0.25">
      <c r="D52">
        <f>'Пр.4 ведом.20'!G1162</f>
        <v>764350.74239999987</v>
      </c>
      <c r="E52" s="331">
        <f>'Пр.4 ведом.20'!H1162</f>
        <v>354191</v>
      </c>
      <c r="F52" s="331">
        <f>'Пр.4 ведом.20'!I1162</f>
        <v>46.338804995186997</v>
      </c>
    </row>
    <row r="53" spans="1:6" hidden="1" x14ac:dyDescent="0.25">
      <c r="D53" s="22">
        <f t="shared" ref="D53:F53" si="12">D52-D51</f>
        <v>0</v>
      </c>
      <c r="E53" s="22">
        <f t="shared" si="12"/>
        <v>0</v>
      </c>
      <c r="F53" s="22">
        <f t="shared" si="12"/>
        <v>0</v>
      </c>
    </row>
    <row r="54" spans="1:6" hidden="1" x14ac:dyDescent="0.25">
      <c r="D54" s="238">
        <f>пр.1дох.20!C168</f>
        <v>747787</v>
      </c>
      <c r="E54" s="238">
        <f>пр.1дох.20!D168</f>
        <v>352975.84</v>
      </c>
      <c r="F54" s="238">
        <f>пр.1дох.20!E168</f>
        <v>47.202724840094845</v>
      </c>
    </row>
    <row r="55" spans="1:6" hidden="1" x14ac:dyDescent="0.25">
      <c r="D55" s="238">
        <f>D54-D51</f>
        <v>-16563.742399999988</v>
      </c>
      <c r="E55" s="238">
        <f t="shared" ref="E55:F55" si="13">E54-E51</f>
        <v>-1215.1600000000326</v>
      </c>
      <c r="F55" s="238">
        <f t="shared" si="13"/>
        <v>0.86391984490784779</v>
      </c>
    </row>
  </sheetData>
  <mergeCells count="2">
    <mergeCell ref="A7:F7"/>
    <mergeCell ref="A8:F8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E2" sqref="E2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customWidth="1"/>
    <col min="5" max="5" width="15.5703125" customWidth="1"/>
  </cols>
  <sheetData>
    <row r="1" spans="1:7" ht="15.75" x14ac:dyDescent="0.25">
      <c r="A1" s="11"/>
      <c r="B1" s="217"/>
      <c r="C1" s="11"/>
      <c r="D1" s="217"/>
      <c r="E1" s="130" t="s">
        <v>1471</v>
      </c>
    </row>
    <row r="2" spans="1:7" ht="15.75" x14ac:dyDescent="0.25">
      <c r="A2" s="11"/>
      <c r="B2" s="217"/>
      <c r="C2" s="11"/>
      <c r="D2" s="217"/>
      <c r="E2" s="130" t="s">
        <v>1</v>
      </c>
    </row>
    <row r="3" spans="1:7" ht="18.75" x14ac:dyDescent="0.3">
      <c r="A3" s="11"/>
      <c r="B3" s="155"/>
      <c r="C3" s="11"/>
      <c r="D3" s="217"/>
      <c r="E3" s="130" t="s">
        <v>1538</v>
      </c>
    </row>
    <row r="4" spans="1:7" s="331" customFormat="1" ht="18.75" x14ac:dyDescent="0.3">
      <c r="A4" s="11"/>
      <c r="B4" s="155"/>
      <c r="C4" s="11"/>
      <c r="E4" s="130"/>
    </row>
    <row r="5" spans="1:7" ht="15.75" x14ac:dyDescent="0.25">
      <c r="A5" s="389" t="s">
        <v>1349</v>
      </c>
      <c r="B5" s="389"/>
      <c r="C5" s="389"/>
      <c r="D5" s="389"/>
      <c r="E5" s="389"/>
    </row>
    <row r="6" spans="1:7" ht="15.75" x14ac:dyDescent="0.25">
      <c r="A6" s="389" t="s">
        <v>1350</v>
      </c>
      <c r="B6" s="389"/>
      <c r="C6" s="389"/>
      <c r="D6" s="389"/>
      <c r="E6" s="389"/>
    </row>
    <row r="7" spans="1:7" ht="15.75" x14ac:dyDescent="0.25">
      <c r="A7" s="389" t="s">
        <v>1351</v>
      </c>
      <c r="B7" s="389"/>
      <c r="C7" s="389"/>
      <c r="D7" s="389"/>
      <c r="E7" s="389"/>
    </row>
    <row r="8" spans="1:7" ht="15.75" x14ac:dyDescent="0.25">
      <c r="A8" s="390"/>
      <c r="B8" s="391"/>
      <c r="C8" s="391"/>
      <c r="D8" s="217"/>
      <c r="E8" s="217"/>
    </row>
    <row r="9" spans="1:7" x14ac:dyDescent="0.25">
      <c r="A9" s="217"/>
      <c r="B9" s="90"/>
      <c r="C9" s="90"/>
      <c r="D9" s="217"/>
      <c r="E9" s="193" t="s">
        <v>2</v>
      </c>
    </row>
    <row r="10" spans="1:7" ht="31.5" x14ac:dyDescent="0.25">
      <c r="A10" s="91" t="s">
        <v>692</v>
      </c>
      <c r="B10" s="91" t="s">
        <v>693</v>
      </c>
      <c r="C10" s="91" t="s">
        <v>694</v>
      </c>
      <c r="D10" s="239" t="s">
        <v>1193</v>
      </c>
      <c r="E10" s="239" t="s">
        <v>1194</v>
      </c>
    </row>
    <row r="11" spans="1:7" ht="15.75" x14ac:dyDescent="0.25">
      <c r="A11" s="47" t="s">
        <v>133</v>
      </c>
      <c r="B11" s="24" t="s">
        <v>134</v>
      </c>
      <c r="C11" s="92"/>
      <c r="D11" s="93">
        <f>SUM(D12:D17)</f>
        <v>142238.12</v>
      </c>
      <c r="E11" s="93">
        <f>SUM(E12:E17)</f>
        <v>147123.02000000002</v>
      </c>
      <c r="G11" s="22"/>
    </row>
    <row r="12" spans="1:7" ht="31.5" x14ac:dyDescent="0.25">
      <c r="A12" s="31" t="s">
        <v>591</v>
      </c>
      <c r="B12" s="20" t="s">
        <v>134</v>
      </c>
      <c r="C12" s="20" t="s">
        <v>229</v>
      </c>
      <c r="D12" s="243">
        <f>'пр.4.1.рдпрцс 21-22'!F9</f>
        <v>4268.5</v>
      </c>
      <c r="E12" s="243">
        <f>'пр.4.1.рдпрцс 21-22'!G9</f>
        <v>4268.5</v>
      </c>
    </row>
    <row r="13" spans="1:7" ht="47.25" x14ac:dyDescent="0.25">
      <c r="A13" s="31" t="s">
        <v>594</v>
      </c>
      <c r="B13" s="20" t="s">
        <v>134</v>
      </c>
      <c r="C13" s="20" t="s">
        <v>231</v>
      </c>
      <c r="D13" s="243">
        <f>'пр.4.1.рдпрцс 21-22'!F28</f>
        <v>1091</v>
      </c>
      <c r="E13" s="243">
        <f>'пр.4.1.рдпрцс 21-22'!G28</f>
        <v>1091</v>
      </c>
    </row>
    <row r="14" spans="1:7" ht="47.25" x14ac:dyDescent="0.25">
      <c r="A14" s="25" t="s">
        <v>165</v>
      </c>
      <c r="B14" s="20" t="s">
        <v>134</v>
      </c>
      <c r="C14" s="20" t="s">
        <v>166</v>
      </c>
      <c r="D14" s="243">
        <f>'пр.4.1.рдпрцс 21-22'!F39</f>
        <v>62536.4</v>
      </c>
      <c r="E14" s="243">
        <f>'пр.4.1.рдпрцс 21-22'!G39</f>
        <v>62593.1</v>
      </c>
    </row>
    <row r="15" spans="1:7" ht="47.25" x14ac:dyDescent="0.25">
      <c r="A15" s="25" t="s">
        <v>135</v>
      </c>
      <c r="B15" s="20" t="s">
        <v>134</v>
      </c>
      <c r="C15" s="20" t="s">
        <v>136</v>
      </c>
      <c r="D15" s="243">
        <f>'пр.4.1.рдпрцс 21-22'!F97</f>
        <v>15283.5</v>
      </c>
      <c r="E15" s="243">
        <f>'пр.4.1.рдпрцс 21-22'!G97</f>
        <v>15283.5</v>
      </c>
    </row>
    <row r="16" spans="1:7" s="217" customFormat="1" ht="15.75" hidden="1" x14ac:dyDescent="0.25">
      <c r="A16" s="25" t="s">
        <v>1369</v>
      </c>
      <c r="B16" s="20" t="s">
        <v>134</v>
      </c>
      <c r="C16" s="20" t="s">
        <v>280</v>
      </c>
      <c r="D16" s="243">
        <f>'пр.4.1.рдпрцс 21-22'!F119</f>
        <v>0</v>
      </c>
      <c r="E16" s="243">
        <f>'пр.4.1.рдпрцс 21-22'!G119</f>
        <v>0</v>
      </c>
    </row>
    <row r="17" spans="1:5" ht="15.75" x14ac:dyDescent="0.25">
      <c r="A17" s="94" t="s">
        <v>155</v>
      </c>
      <c r="B17" s="20" t="s">
        <v>134</v>
      </c>
      <c r="C17" s="20" t="s">
        <v>156</v>
      </c>
      <c r="D17" s="243">
        <f>'пр.4.1.рдпрцс 21-22'!F127</f>
        <v>59058.720000000001</v>
      </c>
      <c r="E17" s="243">
        <f>'пр.4.1.рдпрцс 21-22'!G127</f>
        <v>63886.92</v>
      </c>
    </row>
    <row r="18" spans="1:5" ht="15.75" hidden="1" x14ac:dyDescent="0.25">
      <c r="A18" s="19" t="s">
        <v>228</v>
      </c>
      <c r="B18" s="24" t="s">
        <v>229</v>
      </c>
      <c r="C18" s="20"/>
      <c r="D18" s="93">
        <f>'пр.2 Рд,пр 20'!D18</f>
        <v>0</v>
      </c>
      <c r="E18" s="93">
        <f>'пр.2 Рд,пр 20'!E18</f>
        <v>0</v>
      </c>
    </row>
    <row r="19" spans="1:5" ht="15.75" hidden="1" x14ac:dyDescent="0.25">
      <c r="A19" s="25" t="s">
        <v>234</v>
      </c>
      <c r="B19" s="20" t="s">
        <v>229</v>
      </c>
      <c r="C19" s="20" t="s">
        <v>235</v>
      </c>
      <c r="D19" s="243">
        <f>'пр.2 Рд,пр 20'!D19</f>
        <v>0</v>
      </c>
      <c r="E19" s="243">
        <f>'пр.2 Рд,пр 20'!E19</f>
        <v>0</v>
      </c>
    </row>
    <row r="20" spans="1:5" ht="31.5" x14ac:dyDescent="0.25">
      <c r="A20" s="34" t="s">
        <v>238</v>
      </c>
      <c r="B20" s="24" t="s">
        <v>231</v>
      </c>
      <c r="C20" s="24"/>
      <c r="D20" s="93">
        <f>D21</f>
        <v>8029</v>
      </c>
      <c r="E20" s="93">
        <f>E21</f>
        <v>8029</v>
      </c>
    </row>
    <row r="21" spans="1:5" ht="31.5" x14ac:dyDescent="0.25">
      <c r="A21" s="31" t="s">
        <v>239</v>
      </c>
      <c r="B21" s="20" t="s">
        <v>231</v>
      </c>
      <c r="C21" s="20" t="s">
        <v>235</v>
      </c>
      <c r="D21" s="243">
        <f>'пр.4.1.рдпрцс 21-22'!F223</f>
        <v>8029</v>
      </c>
      <c r="E21" s="243">
        <f>'пр.4.1.рдпрцс 21-22'!G223</f>
        <v>8029</v>
      </c>
    </row>
    <row r="22" spans="1:5" ht="15.75" x14ac:dyDescent="0.25">
      <c r="A22" s="47" t="s">
        <v>248</v>
      </c>
      <c r="B22" s="24" t="s">
        <v>166</v>
      </c>
      <c r="C22" s="24"/>
      <c r="D22" s="93">
        <f>SUM(D23:D26)</f>
        <v>7611.8</v>
      </c>
      <c r="E22" s="93">
        <f>SUM(E23:E26)</f>
        <v>7579.5</v>
      </c>
    </row>
    <row r="23" spans="1:5" ht="15.75" x14ac:dyDescent="0.25">
      <c r="A23" s="95" t="s">
        <v>249</v>
      </c>
      <c r="B23" s="20" t="s">
        <v>166</v>
      </c>
      <c r="C23" s="20" t="s">
        <v>250</v>
      </c>
      <c r="D23" s="243">
        <f>'пр.4.1.рдпрцс 21-22'!F242</f>
        <v>306</v>
      </c>
      <c r="E23" s="243">
        <f>'пр.4.1.рдпрцс 21-22'!G242</f>
        <v>306</v>
      </c>
    </row>
    <row r="24" spans="1:5" ht="15.75" x14ac:dyDescent="0.25">
      <c r="A24" s="94" t="s">
        <v>521</v>
      </c>
      <c r="B24" s="20" t="s">
        <v>166</v>
      </c>
      <c r="C24" s="20" t="s">
        <v>315</v>
      </c>
      <c r="D24" s="243">
        <f>'пр.4.1.рдпрцс 21-22'!F255</f>
        <v>3258</v>
      </c>
      <c r="E24" s="243">
        <f>'пр.4.1.рдпрцс 21-22'!G255</f>
        <v>3258</v>
      </c>
    </row>
    <row r="25" spans="1:5" ht="15.75" x14ac:dyDescent="0.25">
      <c r="A25" s="94" t="s">
        <v>524</v>
      </c>
      <c r="B25" s="20" t="s">
        <v>166</v>
      </c>
      <c r="C25" s="20" t="s">
        <v>235</v>
      </c>
      <c r="D25" s="243">
        <f>'пр.4.1.рдпрцс 21-22'!F261</f>
        <v>3189</v>
      </c>
      <c r="E25" s="243">
        <f>'пр.4.1.рдпрцс 21-22'!G261</f>
        <v>3278</v>
      </c>
    </row>
    <row r="26" spans="1:5" ht="15.75" x14ac:dyDescent="0.25">
      <c r="A26" s="96" t="s">
        <v>253</v>
      </c>
      <c r="B26" s="20" t="s">
        <v>166</v>
      </c>
      <c r="C26" s="20" t="s">
        <v>254</v>
      </c>
      <c r="D26" s="243">
        <f>'пр.4.1.рдпрцс 21-22'!F273</f>
        <v>858.8</v>
      </c>
      <c r="E26" s="243">
        <f>'пр.4.1.рдпрцс 21-22'!G273</f>
        <v>737.5</v>
      </c>
    </row>
    <row r="27" spans="1:5" ht="15.75" x14ac:dyDescent="0.25">
      <c r="A27" s="47" t="s">
        <v>406</v>
      </c>
      <c r="B27" s="24" t="s">
        <v>250</v>
      </c>
      <c r="C27" s="24"/>
      <c r="D27" s="93">
        <f>SUM(D28:D31)</f>
        <v>38717.5</v>
      </c>
      <c r="E27" s="93">
        <f>SUM(E28:E31)</f>
        <v>44867.9</v>
      </c>
    </row>
    <row r="28" spans="1:5" ht="15.75" x14ac:dyDescent="0.25">
      <c r="A28" s="95" t="s">
        <v>407</v>
      </c>
      <c r="B28" s="20" t="s">
        <v>250</v>
      </c>
      <c r="C28" s="20" t="s">
        <v>134</v>
      </c>
      <c r="D28" s="243">
        <f>'пр.4.1.рдпрцс 21-22'!F317</f>
        <v>6341</v>
      </c>
      <c r="E28" s="243">
        <f>'пр.4.1.рдпрцс 21-22'!G317</f>
        <v>6341</v>
      </c>
    </row>
    <row r="29" spans="1:5" ht="15.75" x14ac:dyDescent="0.25">
      <c r="A29" s="95" t="s">
        <v>533</v>
      </c>
      <c r="B29" s="20" t="s">
        <v>250</v>
      </c>
      <c r="C29" s="20" t="s">
        <v>229</v>
      </c>
      <c r="D29" s="243">
        <f>'пр.4.1.рдпрцс 21-22'!F331</f>
        <v>5935</v>
      </c>
      <c r="E29" s="243">
        <f>'пр.4.1.рдпрцс 21-22'!G331</f>
        <v>4693.3999999999996</v>
      </c>
    </row>
    <row r="30" spans="1:5" ht="15.75" x14ac:dyDescent="0.25">
      <c r="A30" s="94" t="s">
        <v>557</v>
      </c>
      <c r="B30" s="20" t="s">
        <v>250</v>
      </c>
      <c r="C30" s="20" t="s">
        <v>231</v>
      </c>
      <c r="D30" s="243">
        <f>'пр.4.1.рдпрцс 21-22'!F395</f>
        <v>4134.5</v>
      </c>
      <c r="E30" s="243">
        <f>'пр.4.1.рдпрцс 21-22'!G395</f>
        <v>11526.5</v>
      </c>
    </row>
    <row r="31" spans="1:5" ht="15.75" x14ac:dyDescent="0.25">
      <c r="A31" s="25" t="s">
        <v>585</v>
      </c>
      <c r="B31" s="20" t="s">
        <v>250</v>
      </c>
      <c r="C31" s="20" t="s">
        <v>250</v>
      </c>
      <c r="D31" s="243">
        <f>'пр.4.1.рдпрцс 21-22'!F444</f>
        <v>22307</v>
      </c>
      <c r="E31" s="243">
        <f>'пр.4.1.рдпрцс 21-22'!G444</f>
        <v>22307</v>
      </c>
    </row>
    <row r="32" spans="1:5" ht="15.75" x14ac:dyDescent="0.25">
      <c r="A32" s="47" t="s">
        <v>279</v>
      </c>
      <c r="B32" s="24" t="s">
        <v>280</v>
      </c>
      <c r="C32" s="24"/>
      <c r="D32" s="93">
        <f>SUM(D33:D37)</f>
        <v>381259.7</v>
      </c>
      <c r="E32" s="93">
        <f>SUM(E33:E37)</f>
        <v>381268.2</v>
      </c>
    </row>
    <row r="33" spans="1:7" ht="15.75" x14ac:dyDescent="0.25">
      <c r="A33" s="94" t="s">
        <v>420</v>
      </c>
      <c r="B33" s="20" t="s">
        <v>280</v>
      </c>
      <c r="C33" s="20" t="s">
        <v>134</v>
      </c>
      <c r="D33" s="243">
        <f>'пр.4.1.рдпрцс 21-22'!F480</f>
        <v>109329.5</v>
      </c>
      <c r="E33" s="243">
        <f>'пр.4.1.рдпрцс 21-22'!G480</f>
        <v>109329.5</v>
      </c>
    </row>
    <row r="34" spans="1:7" ht="15.75" x14ac:dyDescent="0.25">
      <c r="A34" s="94" t="s">
        <v>441</v>
      </c>
      <c r="B34" s="20" t="s">
        <v>280</v>
      </c>
      <c r="C34" s="20" t="s">
        <v>229</v>
      </c>
      <c r="D34" s="243">
        <f>'пр.4.1.рдпрцс 21-22'!F551</f>
        <v>193443.7</v>
      </c>
      <c r="E34" s="243">
        <f>'пр.4.1.рдпрцс 21-22'!G551</f>
        <v>193452.2</v>
      </c>
    </row>
    <row r="35" spans="1:7" ht="15.75" x14ac:dyDescent="0.25">
      <c r="A35" s="94" t="s">
        <v>281</v>
      </c>
      <c r="B35" s="20" t="s">
        <v>280</v>
      </c>
      <c r="C35" s="20" t="s">
        <v>231</v>
      </c>
      <c r="D35" s="243">
        <f>'пр.4.1.рдпрцс 21-22'!F635</f>
        <v>52091.599999999991</v>
      </c>
      <c r="E35" s="243">
        <f>'пр.4.1.рдпрцс 21-22'!G635</f>
        <v>52091.599999999991</v>
      </c>
    </row>
    <row r="36" spans="1:7" ht="15.75" x14ac:dyDescent="0.25">
      <c r="A36" s="94" t="s">
        <v>482</v>
      </c>
      <c r="B36" s="20" t="s">
        <v>280</v>
      </c>
      <c r="C36" s="20" t="s">
        <v>280</v>
      </c>
      <c r="D36" s="243">
        <f>'пр.4.1.рдпрцс 21-22'!F709</f>
        <v>6564.9</v>
      </c>
      <c r="E36" s="243">
        <f>'пр.4.1.рдпрцс 21-22'!G709</f>
        <v>6564.9</v>
      </c>
    </row>
    <row r="37" spans="1:7" ht="15.75" x14ac:dyDescent="0.25">
      <c r="A37" s="94" t="s">
        <v>311</v>
      </c>
      <c r="B37" s="20" t="s">
        <v>280</v>
      </c>
      <c r="C37" s="20" t="s">
        <v>235</v>
      </c>
      <c r="D37" s="243">
        <f>'пр.4.1.рдпрцс 21-22'!F738</f>
        <v>19830</v>
      </c>
      <c r="E37" s="243">
        <f>'пр.4.1.рдпрцс 21-22'!G738</f>
        <v>19830</v>
      </c>
    </row>
    <row r="38" spans="1:7" ht="15.75" x14ac:dyDescent="0.25">
      <c r="A38" s="97" t="s">
        <v>314</v>
      </c>
      <c r="B38" s="24" t="s">
        <v>315</v>
      </c>
      <c r="C38" s="20"/>
      <c r="D38" s="93">
        <f>SUM(D39:D40)</f>
        <v>70268.512000000002</v>
      </c>
      <c r="E38" s="93">
        <f>SUM(E39:E40)</f>
        <v>67994.2</v>
      </c>
    </row>
    <row r="39" spans="1:7" ht="15.75" x14ac:dyDescent="0.25">
      <c r="A39" s="96" t="s">
        <v>316</v>
      </c>
      <c r="B39" s="20" t="s">
        <v>315</v>
      </c>
      <c r="C39" s="20" t="s">
        <v>134</v>
      </c>
      <c r="D39" s="243">
        <f>'пр.4.1.рдпрцс 21-22'!F766</f>
        <v>52929.512000000002</v>
      </c>
      <c r="E39" s="243">
        <f>'пр.4.1.рдпрцс 21-22'!G766</f>
        <v>50655.199999999997</v>
      </c>
    </row>
    <row r="40" spans="1:7" ht="15.75" x14ac:dyDescent="0.25">
      <c r="A40" s="96" t="s">
        <v>349</v>
      </c>
      <c r="B40" s="20" t="s">
        <v>315</v>
      </c>
      <c r="C40" s="20" t="s">
        <v>166</v>
      </c>
      <c r="D40" s="243">
        <f>'пр.4.1.рдпрцс 21-22'!F839</f>
        <v>17339</v>
      </c>
      <c r="E40" s="243">
        <f>'пр.4.1.рдпрцс 21-22'!G839</f>
        <v>17339</v>
      </c>
    </row>
    <row r="41" spans="1:7" ht="15.75" x14ac:dyDescent="0.25">
      <c r="A41" s="47" t="s">
        <v>259</v>
      </c>
      <c r="B41" s="24" t="s">
        <v>260</v>
      </c>
      <c r="C41" s="24"/>
      <c r="D41" s="93">
        <f>SUM(D42:D44)</f>
        <v>19998.400000000001</v>
      </c>
      <c r="E41" s="93">
        <f>SUM(E42:E44)</f>
        <v>15008.4</v>
      </c>
      <c r="G41" s="22"/>
    </row>
    <row r="42" spans="1:7" ht="15.75" x14ac:dyDescent="0.25">
      <c r="A42" s="94" t="s">
        <v>261</v>
      </c>
      <c r="B42" s="20" t="s">
        <v>260</v>
      </c>
      <c r="C42" s="20" t="s">
        <v>134</v>
      </c>
      <c r="D42" s="243">
        <f>'пр.4.1.рдпрцс 21-22'!F869</f>
        <v>9456</v>
      </c>
      <c r="E42" s="243">
        <f>'пр.4.1.рдпрцс 21-22'!G869</f>
        <v>9456</v>
      </c>
    </row>
    <row r="43" spans="1:7" ht="15.75" x14ac:dyDescent="0.25">
      <c r="A43" s="25" t="s">
        <v>268</v>
      </c>
      <c r="B43" s="20" t="s">
        <v>260</v>
      </c>
      <c r="C43" s="20" t="s">
        <v>231</v>
      </c>
      <c r="D43" s="243">
        <f>'пр.4.1.рдпрцс 21-22'!F875</f>
        <v>6834</v>
      </c>
      <c r="E43" s="243">
        <f>'пр.4.1.рдпрцс 21-22'!G875</f>
        <v>1844</v>
      </c>
    </row>
    <row r="44" spans="1:7" ht="15.75" x14ac:dyDescent="0.25">
      <c r="A44" s="25" t="s">
        <v>274</v>
      </c>
      <c r="B44" s="20" t="s">
        <v>260</v>
      </c>
      <c r="C44" s="20" t="s">
        <v>136</v>
      </c>
      <c r="D44" s="243">
        <f>'пр.4.1.рдпрцс 21-22'!F911</f>
        <v>3708.4</v>
      </c>
      <c r="E44" s="243">
        <f>'пр.4.1.рдпрцс 21-22'!G911</f>
        <v>3708.4</v>
      </c>
    </row>
    <row r="45" spans="1:7" ht="15.75" x14ac:dyDescent="0.25">
      <c r="A45" s="97" t="s">
        <v>506</v>
      </c>
      <c r="B45" s="24" t="s">
        <v>507</v>
      </c>
      <c r="C45" s="20"/>
      <c r="D45" s="93">
        <f>SUM(D46:D47)</f>
        <v>58483.6</v>
      </c>
      <c r="E45" s="93">
        <f>SUM(E46:E47)</f>
        <v>58483.6</v>
      </c>
      <c r="G45" s="22"/>
    </row>
    <row r="46" spans="1:7" ht="15.75" x14ac:dyDescent="0.25">
      <c r="A46" s="96" t="s">
        <v>508</v>
      </c>
      <c r="B46" s="20" t="s">
        <v>507</v>
      </c>
      <c r="C46" s="20" t="s">
        <v>134</v>
      </c>
      <c r="D46" s="243">
        <f>'пр.4.1.рдпрцс 21-22'!F925</f>
        <v>46727.6</v>
      </c>
      <c r="E46" s="243">
        <f>'пр.4.1.рдпрцс 21-22'!G925</f>
        <v>46727.6</v>
      </c>
    </row>
    <row r="47" spans="1:7" ht="15.75" x14ac:dyDescent="0.25">
      <c r="A47" s="96" t="s">
        <v>516</v>
      </c>
      <c r="B47" s="20" t="s">
        <v>507</v>
      </c>
      <c r="C47" s="20" t="s">
        <v>250</v>
      </c>
      <c r="D47" s="243">
        <f>'пр.4.1.рдпрцс 21-22'!F964</f>
        <v>11756</v>
      </c>
      <c r="E47" s="243">
        <f>'пр.4.1.рдпрцс 21-22'!G964</f>
        <v>11756</v>
      </c>
    </row>
    <row r="48" spans="1:7" ht="15.75" x14ac:dyDescent="0.25">
      <c r="A48" s="19" t="s">
        <v>598</v>
      </c>
      <c r="B48" s="24" t="s">
        <v>254</v>
      </c>
      <c r="C48" s="20"/>
      <c r="D48" s="93">
        <f>D49</f>
        <v>5479</v>
      </c>
      <c r="E48" s="93">
        <f>E49</f>
        <v>5479</v>
      </c>
    </row>
    <row r="49" spans="1:7" ht="15.75" x14ac:dyDescent="0.25">
      <c r="A49" s="31" t="s">
        <v>599</v>
      </c>
      <c r="B49" s="20" t="s">
        <v>254</v>
      </c>
      <c r="C49" s="20" t="s">
        <v>229</v>
      </c>
      <c r="D49" s="243">
        <f>'пр.4.1.рдпрцс 21-22'!F994</f>
        <v>5479</v>
      </c>
      <c r="E49" s="243">
        <f>'пр.4.1.рдпрцс 21-22'!G994</f>
        <v>5479</v>
      </c>
    </row>
    <row r="50" spans="1:7" ht="15.75" x14ac:dyDescent="0.25">
      <c r="A50" s="92" t="s">
        <v>695</v>
      </c>
      <c r="B50" s="24"/>
      <c r="C50" s="24"/>
      <c r="D50" s="93">
        <f>D11+D20+D22+D27+D32+D38+D41+D45+D48</f>
        <v>732085.63199999998</v>
      </c>
      <c r="E50" s="93">
        <f>E11+E20+E22+E27+E32+E38+E41+E45+E48</f>
        <v>735832.82</v>
      </c>
      <c r="G50" s="22"/>
    </row>
    <row r="52" spans="1:7" hidden="1" x14ac:dyDescent="0.25">
      <c r="D52" s="249">
        <f>'Пр.1.1. дох.21-22'!C149</f>
        <v>732085.63199999998</v>
      </c>
      <c r="E52">
        <f>'Пр.1.1. дох.21-22'!D149</f>
        <v>735832.82</v>
      </c>
    </row>
    <row r="53" spans="1:7" hidden="1" x14ac:dyDescent="0.25"/>
    <row r="54" spans="1:7" hidden="1" x14ac:dyDescent="0.25">
      <c r="D54" s="249">
        <f>D52-D50</f>
        <v>0</v>
      </c>
      <c r="E54" s="249">
        <f>E52-E50</f>
        <v>0</v>
      </c>
    </row>
  </sheetData>
  <mergeCells count="4">
    <mergeCell ref="A5:E5"/>
    <mergeCell ref="A6:E6"/>
    <mergeCell ref="A7:E7"/>
    <mergeCell ref="A8:C8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4"/>
  <sheetViews>
    <sheetView view="pageBreakPreview" zoomScaleNormal="100" zoomScaleSheetLayoutView="100" workbookViewId="0">
      <selection activeCell="A7" sqref="A7:H7"/>
    </sheetView>
  </sheetViews>
  <sheetFormatPr defaultRowHeight="15" x14ac:dyDescent="0.25"/>
  <cols>
    <col min="1" max="1" width="55.140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8" width="14.28515625" style="22" customWidth="1"/>
  </cols>
  <sheetData>
    <row r="1" spans="1:8" ht="15.75" x14ac:dyDescent="0.25">
      <c r="A1" s="56"/>
      <c r="B1" s="56"/>
      <c r="C1" s="56"/>
      <c r="D1" s="218"/>
      <c r="E1" s="218"/>
      <c r="F1" s="305"/>
      <c r="G1" s="378" t="s">
        <v>1468</v>
      </c>
      <c r="H1" s="130"/>
    </row>
    <row r="2" spans="1:8" ht="15.75" x14ac:dyDescent="0.25">
      <c r="A2" s="56"/>
      <c r="B2" s="56"/>
      <c r="C2" s="56"/>
      <c r="D2" s="218"/>
      <c r="E2" s="218"/>
      <c r="F2" s="305"/>
      <c r="G2" s="378" t="s">
        <v>1552</v>
      </c>
      <c r="H2" s="130"/>
    </row>
    <row r="3" spans="1:8" ht="18.75" x14ac:dyDescent="0.3">
      <c r="A3" s="56"/>
      <c r="B3" s="56"/>
      <c r="C3" s="56"/>
      <c r="D3" s="218"/>
      <c r="E3" s="197"/>
      <c r="F3" s="305"/>
      <c r="G3" s="379" t="s">
        <v>1579</v>
      </c>
      <c r="H3" s="366"/>
    </row>
    <row r="4" spans="1:8" s="331" customFormat="1" ht="18.75" x14ac:dyDescent="0.3">
      <c r="A4" s="56"/>
      <c r="B4" s="56"/>
      <c r="C4" s="56"/>
      <c r="D4" s="332"/>
      <c r="E4" s="197"/>
      <c r="F4" s="305"/>
      <c r="G4" s="379" t="s">
        <v>1580</v>
      </c>
      <c r="H4" s="366"/>
    </row>
    <row r="5" spans="1:8" s="331" customFormat="1" ht="18.75" x14ac:dyDescent="0.3">
      <c r="A5" s="56"/>
      <c r="B5" s="56"/>
      <c r="C5" s="56"/>
      <c r="D5" s="332"/>
      <c r="E5" s="197"/>
      <c r="F5" s="305"/>
      <c r="G5" s="379" t="s">
        <v>1581</v>
      </c>
      <c r="H5" s="366"/>
    </row>
    <row r="6" spans="1:8" x14ac:dyDescent="0.25">
      <c r="A6" s="56"/>
      <c r="B6" s="56"/>
      <c r="C6" s="56"/>
      <c r="D6" s="56"/>
      <c r="E6" s="56"/>
      <c r="F6" s="116"/>
      <c r="G6" s="116"/>
      <c r="H6" s="116"/>
    </row>
    <row r="7" spans="1:8" ht="63.75" customHeight="1" x14ac:dyDescent="0.25">
      <c r="A7" s="392" t="s">
        <v>1582</v>
      </c>
      <c r="B7" s="392"/>
      <c r="C7" s="392"/>
      <c r="D7" s="392"/>
      <c r="E7" s="392"/>
      <c r="F7" s="392"/>
      <c r="G7" s="392"/>
      <c r="H7" s="392"/>
    </row>
    <row r="8" spans="1:8" x14ac:dyDescent="0.25">
      <c r="A8" s="56"/>
      <c r="B8" s="56"/>
      <c r="C8" s="56"/>
      <c r="D8" s="56"/>
      <c r="E8" s="56"/>
      <c r="F8" s="306"/>
      <c r="G8" s="306"/>
      <c r="H8" s="306"/>
    </row>
    <row r="9" spans="1:8" ht="63" customHeight="1" x14ac:dyDescent="0.25">
      <c r="A9" s="240" t="s">
        <v>609</v>
      </c>
      <c r="B9" s="241" t="s">
        <v>128</v>
      </c>
      <c r="C9" s="241" t="s">
        <v>129</v>
      </c>
      <c r="D9" s="241" t="s">
        <v>130</v>
      </c>
      <c r="E9" s="241" t="s">
        <v>131</v>
      </c>
      <c r="F9" s="239" t="s">
        <v>1547</v>
      </c>
      <c r="G9" s="215" t="s">
        <v>1548</v>
      </c>
      <c r="H9" s="215" t="s">
        <v>1549</v>
      </c>
    </row>
    <row r="10" spans="1:8" ht="15.75" x14ac:dyDescent="0.25">
      <c r="A10" s="41" t="s">
        <v>133</v>
      </c>
      <c r="B10" s="7" t="s">
        <v>134</v>
      </c>
      <c r="C10" s="7"/>
      <c r="D10" s="7"/>
      <c r="E10" s="7"/>
      <c r="F10" s="4">
        <f>F11+F30+F41+F104+F134+F126</f>
        <v>138868.20000000001</v>
      </c>
      <c r="G10" s="4">
        <f t="shared" ref="G10" si="0">G11+G30+G41+G104+G134+G126</f>
        <v>68470.66</v>
      </c>
      <c r="H10" s="4">
        <f>G10/F10*100</f>
        <v>49.306219854509528</v>
      </c>
    </row>
    <row r="11" spans="1:8" ht="47.25" x14ac:dyDescent="0.25">
      <c r="A11" s="41" t="s">
        <v>591</v>
      </c>
      <c r="B11" s="7" t="s">
        <v>134</v>
      </c>
      <c r="C11" s="7" t="s">
        <v>229</v>
      </c>
      <c r="D11" s="7"/>
      <c r="E11" s="7"/>
      <c r="F11" s="4">
        <f>F12+F22</f>
        <v>4343.7</v>
      </c>
      <c r="G11" s="4">
        <f t="shared" ref="G11" si="1">G12+G22</f>
        <v>2805.6</v>
      </c>
      <c r="H11" s="4">
        <f t="shared" ref="H11:H74" si="2">G11/F11*100</f>
        <v>64.590096001105053</v>
      </c>
    </row>
    <row r="12" spans="1:8" ht="31.5" x14ac:dyDescent="0.25">
      <c r="A12" s="23" t="s">
        <v>990</v>
      </c>
      <c r="B12" s="7" t="s">
        <v>134</v>
      </c>
      <c r="C12" s="7" t="s">
        <v>229</v>
      </c>
      <c r="D12" s="7" t="s">
        <v>904</v>
      </c>
      <c r="E12" s="7"/>
      <c r="F12" s="4">
        <f t="shared" ref="F12:G12" si="3">F13</f>
        <v>4328.7</v>
      </c>
      <c r="G12" s="4">
        <f t="shared" si="3"/>
        <v>2805.6</v>
      </c>
      <c r="H12" s="4">
        <f t="shared" si="2"/>
        <v>64.813916418324212</v>
      </c>
    </row>
    <row r="13" spans="1:8" ht="31.5" x14ac:dyDescent="0.25">
      <c r="A13" s="23" t="s">
        <v>1134</v>
      </c>
      <c r="B13" s="7" t="s">
        <v>134</v>
      </c>
      <c r="C13" s="7" t="s">
        <v>229</v>
      </c>
      <c r="D13" s="7" t="s">
        <v>1135</v>
      </c>
      <c r="E13" s="7"/>
      <c r="F13" s="4">
        <f>F14+F19</f>
        <v>4328.7</v>
      </c>
      <c r="G13" s="4">
        <f t="shared" ref="G13" si="4">G14+G19</f>
        <v>2805.6</v>
      </c>
      <c r="H13" s="4">
        <f t="shared" si="2"/>
        <v>64.813916418324212</v>
      </c>
    </row>
    <row r="14" spans="1:8" ht="31.5" x14ac:dyDescent="0.25">
      <c r="A14" s="29" t="s">
        <v>592</v>
      </c>
      <c r="B14" s="40" t="s">
        <v>134</v>
      </c>
      <c r="C14" s="40" t="s">
        <v>229</v>
      </c>
      <c r="D14" s="40" t="s">
        <v>1136</v>
      </c>
      <c r="E14" s="40"/>
      <c r="F14" s="6">
        <f t="shared" ref="F14:G14" si="5">F15+F17</f>
        <v>4328.7</v>
      </c>
      <c r="G14" s="6">
        <f t="shared" si="5"/>
        <v>2805.6</v>
      </c>
      <c r="H14" s="6">
        <f t="shared" si="2"/>
        <v>64.813916418324212</v>
      </c>
    </row>
    <row r="15" spans="1:8" ht="78.75" x14ac:dyDescent="0.25">
      <c r="A15" s="29" t="s">
        <v>143</v>
      </c>
      <c r="B15" s="40" t="s">
        <v>134</v>
      </c>
      <c r="C15" s="40" t="s">
        <v>229</v>
      </c>
      <c r="D15" s="40" t="s">
        <v>1136</v>
      </c>
      <c r="E15" s="40" t="s">
        <v>144</v>
      </c>
      <c r="F15" s="308">
        <f t="shared" ref="F15:G15" si="6">F16</f>
        <v>4238.7</v>
      </c>
      <c r="G15" s="308">
        <f t="shared" si="6"/>
        <v>2805.6</v>
      </c>
      <c r="H15" s="6">
        <f t="shared" si="2"/>
        <v>66.190105456861772</v>
      </c>
    </row>
    <row r="16" spans="1:8" ht="31.5" x14ac:dyDescent="0.25">
      <c r="A16" s="29" t="s">
        <v>145</v>
      </c>
      <c r="B16" s="40" t="s">
        <v>134</v>
      </c>
      <c r="C16" s="40" t="s">
        <v>229</v>
      </c>
      <c r="D16" s="40" t="s">
        <v>1136</v>
      </c>
      <c r="E16" s="40" t="s">
        <v>146</v>
      </c>
      <c r="F16" s="308">
        <f>'Пр.4 ведом.20'!G1126</f>
        <v>4238.7</v>
      </c>
      <c r="G16" s="308">
        <f>'Пр.4 ведом.20'!H1126</f>
        <v>2805.6</v>
      </c>
      <c r="H16" s="6">
        <f t="shared" si="2"/>
        <v>66.190105456861772</v>
      </c>
    </row>
    <row r="17" spans="1:8" ht="31.5" x14ac:dyDescent="0.25">
      <c r="A17" s="29" t="s">
        <v>147</v>
      </c>
      <c r="B17" s="40" t="s">
        <v>134</v>
      </c>
      <c r="C17" s="40" t="s">
        <v>229</v>
      </c>
      <c r="D17" s="40" t="s">
        <v>1136</v>
      </c>
      <c r="E17" s="40" t="s">
        <v>148</v>
      </c>
      <c r="F17" s="28">
        <f t="shared" ref="F17:G17" si="7">F18</f>
        <v>90</v>
      </c>
      <c r="G17" s="28">
        <f t="shared" si="7"/>
        <v>0</v>
      </c>
      <c r="H17" s="6">
        <f t="shared" si="2"/>
        <v>0</v>
      </c>
    </row>
    <row r="18" spans="1:8" ht="31.5" x14ac:dyDescent="0.25">
      <c r="A18" s="29" t="s">
        <v>149</v>
      </c>
      <c r="B18" s="40" t="s">
        <v>134</v>
      </c>
      <c r="C18" s="40" t="s">
        <v>229</v>
      </c>
      <c r="D18" s="40" t="s">
        <v>1136</v>
      </c>
      <c r="E18" s="40" t="s">
        <v>150</v>
      </c>
      <c r="F18" s="28">
        <f>'Пр.4 ведом.20'!G1128</f>
        <v>90</v>
      </c>
      <c r="G18" s="28">
        <f>'Пр.4 ведом.20'!H1128</f>
        <v>0</v>
      </c>
      <c r="H18" s="6">
        <f t="shared" si="2"/>
        <v>0</v>
      </c>
    </row>
    <row r="19" spans="1:8" s="217" customFormat="1" ht="47.25" hidden="1" x14ac:dyDescent="0.25">
      <c r="A19" s="25" t="s">
        <v>885</v>
      </c>
      <c r="B19" s="40" t="s">
        <v>134</v>
      </c>
      <c r="C19" s="40" t="s">
        <v>229</v>
      </c>
      <c r="D19" s="40" t="s">
        <v>1137</v>
      </c>
      <c r="E19" s="40"/>
      <c r="F19" s="28">
        <f>F20</f>
        <v>0</v>
      </c>
      <c r="G19" s="28">
        <f t="shared" ref="G19:G20" si="8">G20</f>
        <v>0</v>
      </c>
      <c r="H19" s="6" t="e">
        <f t="shared" si="2"/>
        <v>#DIV/0!</v>
      </c>
    </row>
    <row r="20" spans="1:8" s="217" customFormat="1" ht="78.75" hidden="1" x14ac:dyDescent="0.25">
      <c r="A20" s="25" t="s">
        <v>143</v>
      </c>
      <c r="B20" s="40" t="s">
        <v>134</v>
      </c>
      <c r="C20" s="40" t="s">
        <v>229</v>
      </c>
      <c r="D20" s="40" t="s">
        <v>1137</v>
      </c>
      <c r="E20" s="40" t="s">
        <v>144</v>
      </c>
      <c r="F20" s="28">
        <f>F21</f>
        <v>0</v>
      </c>
      <c r="G20" s="28">
        <f t="shared" si="8"/>
        <v>0</v>
      </c>
      <c r="H20" s="6" t="e">
        <f t="shared" si="2"/>
        <v>#DIV/0!</v>
      </c>
    </row>
    <row r="21" spans="1:8" s="217" customFormat="1" ht="31.5" hidden="1" x14ac:dyDescent="0.25">
      <c r="A21" s="25" t="s">
        <v>145</v>
      </c>
      <c r="B21" s="40" t="s">
        <v>134</v>
      </c>
      <c r="C21" s="40" t="s">
        <v>229</v>
      </c>
      <c r="D21" s="40" t="s">
        <v>1137</v>
      </c>
      <c r="E21" s="40" t="s">
        <v>146</v>
      </c>
      <c r="F21" s="28">
        <f>'Пр.4 ведом.20'!G1131</f>
        <v>0</v>
      </c>
      <c r="G21" s="28">
        <f>'Пр.4 ведом.20'!H1131</f>
        <v>0</v>
      </c>
      <c r="H21" s="6" t="e">
        <f t="shared" si="2"/>
        <v>#DIV/0!</v>
      </c>
    </row>
    <row r="22" spans="1:8" s="217" customFormat="1" ht="47.25" x14ac:dyDescent="0.25">
      <c r="A22" s="23" t="s">
        <v>820</v>
      </c>
      <c r="B22" s="24" t="s">
        <v>134</v>
      </c>
      <c r="C22" s="7" t="s">
        <v>229</v>
      </c>
      <c r="D22" s="24" t="s">
        <v>178</v>
      </c>
      <c r="E22" s="7"/>
      <c r="F22" s="309">
        <f>F23</f>
        <v>15</v>
      </c>
      <c r="G22" s="309">
        <f t="shared" ref="G22" si="9">G23</f>
        <v>0</v>
      </c>
      <c r="H22" s="4">
        <f t="shared" si="2"/>
        <v>0</v>
      </c>
    </row>
    <row r="23" spans="1:8" s="217" customFormat="1" ht="63" x14ac:dyDescent="0.25">
      <c r="A23" s="232" t="s">
        <v>889</v>
      </c>
      <c r="B23" s="24" t="s">
        <v>134</v>
      </c>
      <c r="C23" s="7" t="s">
        <v>229</v>
      </c>
      <c r="D23" s="7" t="s">
        <v>896</v>
      </c>
      <c r="E23" s="7"/>
      <c r="F23" s="309">
        <f>F24+F27</f>
        <v>15</v>
      </c>
      <c r="G23" s="309">
        <f t="shared" ref="G23" si="10">G24+G27</f>
        <v>0</v>
      </c>
      <c r="H23" s="4">
        <f t="shared" si="2"/>
        <v>0</v>
      </c>
    </row>
    <row r="24" spans="1:8" s="217" customFormat="1" ht="47.25" x14ac:dyDescent="0.25">
      <c r="A24" s="31" t="s">
        <v>712</v>
      </c>
      <c r="B24" s="20" t="s">
        <v>134</v>
      </c>
      <c r="C24" s="20" t="s">
        <v>229</v>
      </c>
      <c r="D24" s="40" t="s">
        <v>1142</v>
      </c>
      <c r="E24" s="20"/>
      <c r="F24" s="6">
        <f>F25</f>
        <v>1</v>
      </c>
      <c r="G24" s="6">
        <f t="shared" ref="G24:G25" si="11">G25</f>
        <v>0</v>
      </c>
      <c r="H24" s="6">
        <f t="shared" si="2"/>
        <v>0</v>
      </c>
    </row>
    <row r="25" spans="1:8" s="217" customFormat="1" ht="31.5" x14ac:dyDescent="0.25">
      <c r="A25" s="25" t="s">
        <v>147</v>
      </c>
      <c r="B25" s="20" t="s">
        <v>134</v>
      </c>
      <c r="C25" s="20" t="s">
        <v>229</v>
      </c>
      <c r="D25" s="40" t="s">
        <v>1142</v>
      </c>
      <c r="E25" s="20" t="s">
        <v>148</v>
      </c>
      <c r="F25" s="6">
        <f>F26</f>
        <v>1</v>
      </c>
      <c r="G25" s="6">
        <f t="shared" si="11"/>
        <v>0</v>
      </c>
      <c r="H25" s="6">
        <f t="shared" si="2"/>
        <v>0</v>
      </c>
    </row>
    <row r="26" spans="1:8" s="217" customFormat="1" ht="31.5" x14ac:dyDescent="0.25">
      <c r="A26" s="25" t="s">
        <v>149</v>
      </c>
      <c r="B26" s="20" t="s">
        <v>134</v>
      </c>
      <c r="C26" s="20" t="s">
        <v>229</v>
      </c>
      <c r="D26" s="40" t="s">
        <v>713</v>
      </c>
      <c r="E26" s="20" t="s">
        <v>150</v>
      </c>
      <c r="F26" s="6">
        <f>'Пр.4 ведом.20'!G1136</f>
        <v>1</v>
      </c>
      <c r="G26" s="6">
        <f>'Пр.4 ведом.20'!H1136</f>
        <v>0</v>
      </c>
      <c r="H26" s="6">
        <f t="shared" si="2"/>
        <v>0</v>
      </c>
    </row>
    <row r="27" spans="1:8" s="217" customFormat="1" ht="47.25" x14ac:dyDescent="0.25">
      <c r="A27" s="31" t="s">
        <v>712</v>
      </c>
      <c r="B27" s="20" t="s">
        <v>134</v>
      </c>
      <c r="C27" s="20" t="s">
        <v>229</v>
      </c>
      <c r="D27" s="20" t="s">
        <v>1141</v>
      </c>
      <c r="E27" s="20"/>
      <c r="F27" s="6">
        <f>F28</f>
        <v>14</v>
      </c>
      <c r="G27" s="6">
        <f t="shared" ref="G27:G28" si="12">G28</f>
        <v>0</v>
      </c>
      <c r="H27" s="6">
        <f t="shared" si="2"/>
        <v>0</v>
      </c>
    </row>
    <row r="28" spans="1:8" s="217" customFormat="1" ht="31.5" x14ac:dyDescent="0.25">
      <c r="A28" s="25" t="s">
        <v>147</v>
      </c>
      <c r="B28" s="20" t="s">
        <v>134</v>
      </c>
      <c r="C28" s="20" t="s">
        <v>229</v>
      </c>
      <c r="D28" s="20" t="s">
        <v>1141</v>
      </c>
      <c r="E28" s="20" t="s">
        <v>148</v>
      </c>
      <c r="F28" s="6">
        <f>F29</f>
        <v>14</v>
      </c>
      <c r="G28" s="6">
        <f t="shared" si="12"/>
        <v>0</v>
      </c>
      <c r="H28" s="6">
        <f t="shared" si="2"/>
        <v>0</v>
      </c>
    </row>
    <row r="29" spans="1:8" s="217" customFormat="1" ht="31.5" x14ac:dyDescent="0.25">
      <c r="A29" s="25" t="s">
        <v>149</v>
      </c>
      <c r="B29" s="20" t="s">
        <v>134</v>
      </c>
      <c r="C29" s="20" t="s">
        <v>229</v>
      </c>
      <c r="D29" s="20" t="s">
        <v>1141</v>
      </c>
      <c r="E29" s="20" t="s">
        <v>150</v>
      </c>
      <c r="F29" s="6">
        <f>'Пр.4 ведом.20'!G1139</f>
        <v>14</v>
      </c>
      <c r="G29" s="6">
        <f>'Пр.4 ведом.20'!H1139</f>
        <v>0</v>
      </c>
      <c r="H29" s="6">
        <f t="shared" si="2"/>
        <v>0</v>
      </c>
    </row>
    <row r="30" spans="1:8" ht="63" x14ac:dyDescent="0.25">
      <c r="A30" s="41" t="s">
        <v>594</v>
      </c>
      <c r="B30" s="7" t="s">
        <v>134</v>
      </c>
      <c r="C30" s="7" t="s">
        <v>231</v>
      </c>
      <c r="D30" s="7"/>
      <c r="E30" s="7"/>
      <c r="F30" s="4">
        <f t="shared" ref="F30:G31" si="13">F31</f>
        <v>1143</v>
      </c>
      <c r="G30" s="4">
        <f t="shared" si="13"/>
        <v>542.67999999999995</v>
      </c>
      <c r="H30" s="4">
        <f t="shared" si="2"/>
        <v>47.478565179352579</v>
      </c>
    </row>
    <row r="31" spans="1:8" ht="31.5" x14ac:dyDescent="0.25">
      <c r="A31" s="23" t="s">
        <v>990</v>
      </c>
      <c r="B31" s="7" t="s">
        <v>134</v>
      </c>
      <c r="C31" s="7" t="s">
        <v>231</v>
      </c>
      <c r="D31" s="7" t="s">
        <v>904</v>
      </c>
      <c r="E31" s="7"/>
      <c r="F31" s="4">
        <f t="shared" si="13"/>
        <v>1143</v>
      </c>
      <c r="G31" s="4">
        <f t="shared" si="13"/>
        <v>542.67999999999995</v>
      </c>
      <c r="H31" s="4">
        <f t="shared" si="2"/>
        <v>47.478565179352579</v>
      </c>
    </row>
    <row r="32" spans="1:8" ht="31.5" x14ac:dyDescent="0.25">
      <c r="A32" s="23" t="s">
        <v>1134</v>
      </c>
      <c r="B32" s="7" t="s">
        <v>134</v>
      </c>
      <c r="C32" s="7" t="s">
        <v>231</v>
      </c>
      <c r="D32" s="7" t="s">
        <v>1135</v>
      </c>
      <c r="E32" s="7"/>
      <c r="F32" s="4">
        <f>F33+F38</f>
        <v>1143</v>
      </c>
      <c r="G32" s="4">
        <f t="shared" ref="G32" si="14">G33+G38</f>
        <v>542.67999999999995</v>
      </c>
      <c r="H32" s="4">
        <f t="shared" si="2"/>
        <v>47.478565179352579</v>
      </c>
    </row>
    <row r="33" spans="1:8" ht="31.5" x14ac:dyDescent="0.25">
      <c r="A33" s="25" t="s">
        <v>1138</v>
      </c>
      <c r="B33" s="40" t="s">
        <v>134</v>
      </c>
      <c r="C33" s="40" t="s">
        <v>231</v>
      </c>
      <c r="D33" s="40" t="s">
        <v>1139</v>
      </c>
      <c r="E33" s="40"/>
      <c r="F33" s="6">
        <f t="shared" ref="F33:G33" si="15">F34+F36</f>
        <v>1143</v>
      </c>
      <c r="G33" s="6">
        <f t="shared" si="15"/>
        <v>542.67999999999995</v>
      </c>
      <c r="H33" s="6">
        <f t="shared" si="2"/>
        <v>47.478565179352579</v>
      </c>
    </row>
    <row r="34" spans="1:8" ht="78.75" x14ac:dyDescent="0.25">
      <c r="A34" s="29" t="s">
        <v>143</v>
      </c>
      <c r="B34" s="40" t="s">
        <v>134</v>
      </c>
      <c r="C34" s="40" t="s">
        <v>231</v>
      </c>
      <c r="D34" s="40" t="s">
        <v>1139</v>
      </c>
      <c r="E34" s="40" t="s">
        <v>144</v>
      </c>
      <c r="F34" s="308">
        <f t="shared" ref="F34:G34" si="16">F35</f>
        <v>1050</v>
      </c>
      <c r="G34" s="308">
        <f t="shared" si="16"/>
        <v>515.64</v>
      </c>
      <c r="H34" s="6">
        <f t="shared" si="2"/>
        <v>49.10857142857143</v>
      </c>
    </row>
    <row r="35" spans="1:8" ht="31.5" x14ac:dyDescent="0.25">
      <c r="A35" s="29" t="s">
        <v>145</v>
      </c>
      <c r="B35" s="40" t="s">
        <v>134</v>
      </c>
      <c r="C35" s="40" t="s">
        <v>231</v>
      </c>
      <c r="D35" s="40" t="s">
        <v>1139</v>
      </c>
      <c r="E35" s="40" t="s">
        <v>146</v>
      </c>
      <c r="F35" s="308">
        <f>'Пр.4 ведом.20'!G1145</f>
        <v>1050</v>
      </c>
      <c r="G35" s="308">
        <f>'Пр.4 ведом.20'!H1145</f>
        <v>515.64</v>
      </c>
      <c r="H35" s="6">
        <f t="shared" si="2"/>
        <v>49.10857142857143</v>
      </c>
    </row>
    <row r="36" spans="1:8" ht="31.5" x14ac:dyDescent="0.25">
      <c r="A36" s="29" t="s">
        <v>147</v>
      </c>
      <c r="B36" s="40" t="s">
        <v>134</v>
      </c>
      <c r="C36" s="40" t="s">
        <v>231</v>
      </c>
      <c r="D36" s="40" t="s">
        <v>1139</v>
      </c>
      <c r="E36" s="40" t="s">
        <v>148</v>
      </c>
      <c r="F36" s="6">
        <f t="shared" ref="F36:G36" si="17">F37</f>
        <v>93</v>
      </c>
      <c r="G36" s="6">
        <f t="shared" si="17"/>
        <v>27.04</v>
      </c>
      <c r="H36" s="6">
        <f t="shared" si="2"/>
        <v>29.075268817204304</v>
      </c>
    </row>
    <row r="37" spans="1:8" ht="31.5" x14ac:dyDescent="0.25">
      <c r="A37" s="29" t="s">
        <v>149</v>
      </c>
      <c r="B37" s="40" t="s">
        <v>134</v>
      </c>
      <c r="C37" s="40" t="s">
        <v>231</v>
      </c>
      <c r="D37" s="40" t="s">
        <v>1139</v>
      </c>
      <c r="E37" s="40" t="s">
        <v>150</v>
      </c>
      <c r="F37" s="6">
        <f>'Пр.4 ведом.20'!G1147</f>
        <v>93</v>
      </c>
      <c r="G37" s="6">
        <f>'Пр.4 ведом.20'!H1147</f>
        <v>27.04</v>
      </c>
      <c r="H37" s="6">
        <f t="shared" si="2"/>
        <v>29.075268817204304</v>
      </c>
    </row>
    <row r="38" spans="1:8" s="217" customFormat="1" ht="30.2" hidden="1" customHeight="1" x14ac:dyDescent="0.25">
      <c r="A38" s="25" t="s">
        <v>885</v>
      </c>
      <c r="B38" s="40" t="s">
        <v>134</v>
      </c>
      <c r="C38" s="40" t="s">
        <v>231</v>
      </c>
      <c r="D38" s="40" t="s">
        <v>1137</v>
      </c>
      <c r="E38" s="40"/>
      <c r="F38" s="28">
        <f>F39</f>
        <v>0</v>
      </c>
      <c r="G38" s="28">
        <f t="shared" ref="G38:G39" si="18">G39</f>
        <v>0</v>
      </c>
      <c r="H38" s="6" t="e">
        <f t="shared" si="2"/>
        <v>#DIV/0!</v>
      </c>
    </row>
    <row r="39" spans="1:8" s="217" customFormat="1" ht="85.7" hidden="1" customHeight="1" x14ac:dyDescent="0.25">
      <c r="A39" s="25" t="s">
        <v>143</v>
      </c>
      <c r="B39" s="40" t="s">
        <v>134</v>
      </c>
      <c r="C39" s="40" t="s">
        <v>231</v>
      </c>
      <c r="D39" s="40" t="s">
        <v>1137</v>
      </c>
      <c r="E39" s="40" t="s">
        <v>144</v>
      </c>
      <c r="F39" s="28">
        <f>F40</f>
        <v>0</v>
      </c>
      <c r="G39" s="28">
        <f t="shared" si="18"/>
        <v>0</v>
      </c>
      <c r="H39" s="6" t="e">
        <f t="shared" si="2"/>
        <v>#DIV/0!</v>
      </c>
    </row>
    <row r="40" spans="1:8" s="217" customFormat="1" ht="38.25" hidden="1" customHeight="1" x14ac:dyDescent="0.25">
      <c r="A40" s="25" t="s">
        <v>145</v>
      </c>
      <c r="B40" s="40" t="s">
        <v>134</v>
      </c>
      <c r="C40" s="40" t="s">
        <v>231</v>
      </c>
      <c r="D40" s="40" t="s">
        <v>1137</v>
      </c>
      <c r="E40" s="40" t="s">
        <v>146</v>
      </c>
      <c r="F40" s="28">
        <f>'Пр.4 ведом.20'!G1150</f>
        <v>0</v>
      </c>
      <c r="G40" s="28">
        <f>'Пр.4 ведом.20'!H1150</f>
        <v>0</v>
      </c>
      <c r="H40" s="6" t="e">
        <f t="shared" si="2"/>
        <v>#DIV/0!</v>
      </c>
    </row>
    <row r="41" spans="1:8" ht="70.5" customHeight="1" x14ac:dyDescent="0.25">
      <c r="A41" s="41" t="s">
        <v>165</v>
      </c>
      <c r="B41" s="7" t="s">
        <v>134</v>
      </c>
      <c r="C41" s="7" t="s">
        <v>166</v>
      </c>
      <c r="D41" s="7"/>
      <c r="E41" s="7"/>
      <c r="F41" s="4">
        <f>F42+F86</f>
        <v>66119.100000000006</v>
      </c>
      <c r="G41" s="4">
        <f t="shared" ref="G41" si="19">G42+G86</f>
        <v>32728.1</v>
      </c>
      <c r="H41" s="4">
        <f t="shared" si="2"/>
        <v>49.498707635161395</v>
      </c>
    </row>
    <row r="42" spans="1:8" ht="31.5" x14ac:dyDescent="0.25">
      <c r="A42" s="23" t="s">
        <v>990</v>
      </c>
      <c r="B42" s="7" t="s">
        <v>134</v>
      </c>
      <c r="C42" s="7" t="s">
        <v>166</v>
      </c>
      <c r="D42" s="7" t="s">
        <v>904</v>
      </c>
      <c r="E42" s="7"/>
      <c r="F42" s="4">
        <f>F43+F59</f>
        <v>65596.100000000006</v>
      </c>
      <c r="G42" s="4">
        <f t="shared" ref="G42" si="20">G43+G59</f>
        <v>32448.199999999997</v>
      </c>
      <c r="H42" s="4">
        <f t="shared" si="2"/>
        <v>49.466660365479036</v>
      </c>
    </row>
    <row r="43" spans="1:8" ht="15.75" x14ac:dyDescent="0.25">
      <c r="A43" s="23" t="s">
        <v>991</v>
      </c>
      <c r="B43" s="7" t="s">
        <v>134</v>
      </c>
      <c r="C43" s="7" t="s">
        <v>166</v>
      </c>
      <c r="D43" s="7" t="s">
        <v>905</v>
      </c>
      <c r="E43" s="7"/>
      <c r="F43" s="4">
        <f>F44+F53+F56</f>
        <v>62321.5</v>
      </c>
      <c r="G43" s="4">
        <f t="shared" ref="G43" si="21">G44+G53+G56</f>
        <v>31081.899999999998</v>
      </c>
      <c r="H43" s="4">
        <f t="shared" si="2"/>
        <v>49.873478655038788</v>
      </c>
    </row>
    <row r="44" spans="1:8" ht="31.5" x14ac:dyDescent="0.25">
      <c r="A44" s="29" t="s">
        <v>967</v>
      </c>
      <c r="B44" s="40" t="s">
        <v>134</v>
      </c>
      <c r="C44" s="40" t="s">
        <v>166</v>
      </c>
      <c r="D44" s="40" t="s">
        <v>906</v>
      </c>
      <c r="E44" s="40"/>
      <c r="F44" s="6">
        <f>F45+F47+F51+F49</f>
        <v>57907.3</v>
      </c>
      <c r="G44" s="6">
        <f t="shared" ref="G44" si="22">G45+G47+G51+G49</f>
        <v>28872.2</v>
      </c>
      <c r="H44" s="6">
        <f t="shared" si="2"/>
        <v>49.859344158681203</v>
      </c>
    </row>
    <row r="45" spans="1:8" ht="78.75" x14ac:dyDescent="0.25">
      <c r="A45" s="29" t="s">
        <v>143</v>
      </c>
      <c r="B45" s="40" t="s">
        <v>134</v>
      </c>
      <c r="C45" s="40" t="s">
        <v>166</v>
      </c>
      <c r="D45" s="40" t="s">
        <v>906</v>
      </c>
      <c r="E45" s="40" t="s">
        <v>144</v>
      </c>
      <c r="F45" s="308">
        <f t="shared" ref="F45:G45" si="23">F46</f>
        <v>50224.3</v>
      </c>
      <c r="G45" s="308">
        <f t="shared" si="23"/>
        <v>25963.9</v>
      </c>
      <c r="H45" s="6">
        <f t="shared" si="2"/>
        <v>51.695892227467574</v>
      </c>
    </row>
    <row r="46" spans="1:8" ht="31.5" x14ac:dyDescent="0.25">
      <c r="A46" s="29" t="s">
        <v>145</v>
      </c>
      <c r="B46" s="40" t="s">
        <v>134</v>
      </c>
      <c r="C46" s="40" t="s">
        <v>166</v>
      </c>
      <c r="D46" s="40" t="s">
        <v>906</v>
      </c>
      <c r="E46" s="40" t="s">
        <v>146</v>
      </c>
      <c r="F46" s="308">
        <f>'Пр.4 ведом.20'!G499+'Пр.4 ведом.20'!G32</f>
        <v>50224.3</v>
      </c>
      <c r="G46" s="308">
        <f>'Пр.4 ведом.20'!H499+'Пр.4 ведом.20'!H32</f>
        <v>25963.9</v>
      </c>
      <c r="H46" s="6">
        <f t="shared" si="2"/>
        <v>51.695892227467574</v>
      </c>
    </row>
    <row r="47" spans="1:8" ht="31.5" x14ac:dyDescent="0.25">
      <c r="A47" s="29" t="s">
        <v>147</v>
      </c>
      <c r="B47" s="40" t="s">
        <v>134</v>
      </c>
      <c r="C47" s="40" t="s">
        <v>166</v>
      </c>
      <c r="D47" s="40" t="s">
        <v>906</v>
      </c>
      <c r="E47" s="40" t="s">
        <v>148</v>
      </c>
      <c r="F47" s="6">
        <f t="shared" ref="F47:G47" si="24">F48</f>
        <v>7477</v>
      </c>
      <c r="G47" s="6">
        <f t="shared" si="24"/>
        <v>2798.6000000000004</v>
      </c>
      <c r="H47" s="6">
        <f t="shared" si="2"/>
        <v>37.429450314297178</v>
      </c>
    </row>
    <row r="48" spans="1:8" ht="31.5" x14ac:dyDescent="0.25">
      <c r="A48" s="29" t="s">
        <v>149</v>
      </c>
      <c r="B48" s="40" t="s">
        <v>134</v>
      </c>
      <c r="C48" s="40" t="s">
        <v>166</v>
      </c>
      <c r="D48" s="40" t="s">
        <v>906</v>
      </c>
      <c r="E48" s="40" t="s">
        <v>150</v>
      </c>
      <c r="F48" s="6">
        <f>'Пр.4 ведом.20'!G34+'Пр.4 ведом.20'!G501</f>
        <v>7477</v>
      </c>
      <c r="G48" s="6">
        <f>'Пр.4 ведом.20'!H34+'Пр.4 ведом.20'!H501</f>
        <v>2798.6000000000004</v>
      </c>
      <c r="H48" s="6">
        <f t="shared" si="2"/>
        <v>37.429450314297178</v>
      </c>
    </row>
    <row r="49" spans="1:8" s="217" customFormat="1" ht="21.2" customHeight="1" x14ac:dyDescent="0.25">
      <c r="A49" s="25" t="s">
        <v>264</v>
      </c>
      <c r="B49" s="40" t="s">
        <v>134</v>
      </c>
      <c r="C49" s="40" t="s">
        <v>166</v>
      </c>
      <c r="D49" s="40" t="s">
        <v>906</v>
      </c>
      <c r="E49" s="40" t="s">
        <v>265</v>
      </c>
      <c r="F49" s="6">
        <f>F50</f>
        <v>0</v>
      </c>
      <c r="G49" s="6">
        <f t="shared" ref="G49" si="25">G50</f>
        <v>0</v>
      </c>
      <c r="H49" s="6" t="e">
        <f t="shared" si="2"/>
        <v>#DIV/0!</v>
      </c>
    </row>
    <row r="50" spans="1:8" s="217" customFormat="1" ht="31.5" x14ac:dyDescent="0.25">
      <c r="A50" s="25" t="s">
        <v>266</v>
      </c>
      <c r="B50" s="40" t="s">
        <v>134</v>
      </c>
      <c r="C50" s="40" t="s">
        <v>166</v>
      </c>
      <c r="D50" s="40" t="s">
        <v>906</v>
      </c>
      <c r="E50" s="40" t="s">
        <v>267</v>
      </c>
      <c r="F50" s="6">
        <f>'Пр.4 ведом.20'!G36</f>
        <v>0</v>
      </c>
      <c r="G50" s="6">
        <f>'Пр.4 ведом.20'!H36</f>
        <v>0</v>
      </c>
      <c r="H50" s="6" t="e">
        <f t="shared" si="2"/>
        <v>#DIV/0!</v>
      </c>
    </row>
    <row r="51" spans="1:8" ht="15.75" x14ac:dyDescent="0.25">
      <c r="A51" s="29" t="s">
        <v>151</v>
      </c>
      <c r="B51" s="40" t="s">
        <v>134</v>
      </c>
      <c r="C51" s="40" t="s">
        <v>166</v>
      </c>
      <c r="D51" s="40" t="s">
        <v>906</v>
      </c>
      <c r="E51" s="40" t="s">
        <v>161</v>
      </c>
      <c r="F51" s="6">
        <f t="shared" ref="F51:G51" si="26">F52</f>
        <v>206</v>
      </c>
      <c r="G51" s="6">
        <f t="shared" si="26"/>
        <v>109.7</v>
      </c>
      <c r="H51" s="6">
        <f t="shared" si="2"/>
        <v>53.252427184466022</v>
      </c>
    </row>
    <row r="52" spans="1:8" ht="15.75" x14ac:dyDescent="0.25">
      <c r="A52" s="29" t="s">
        <v>584</v>
      </c>
      <c r="B52" s="40" t="s">
        <v>134</v>
      </c>
      <c r="C52" s="40" t="s">
        <v>166</v>
      </c>
      <c r="D52" s="40" t="s">
        <v>906</v>
      </c>
      <c r="E52" s="40" t="s">
        <v>154</v>
      </c>
      <c r="F52" s="6">
        <f>'Пр.4 ведом.20'!G503+'Пр.4 ведом.20'!G38</f>
        <v>206</v>
      </c>
      <c r="G52" s="6">
        <f>'Пр.4 ведом.20'!H503+'Пр.4 ведом.20'!H38</f>
        <v>109.7</v>
      </c>
      <c r="H52" s="6">
        <f t="shared" si="2"/>
        <v>53.252427184466022</v>
      </c>
    </row>
    <row r="53" spans="1:8" ht="31.5" x14ac:dyDescent="0.25">
      <c r="A53" s="25" t="s">
        <v>169</v>
      </c>
      <c r="B53" s="20" t="s">
        <v>134</v>
      </c>
      <c r="C53" s="20" t="s">
        <v>166</v>
      </c>
      <c r="D53" s="40" t="s">
        <v>907</v>
      </c>
      <c r="E53" s="20"/>
      <c r="F53" s="308">
        <f>F54</f>
        <v>2524.1999999999998</v>
      </c>
      <c r="G53" s="308">
        <f t="shared" ref="G53:G54" si="27">G54</f>
        <v>1273.0999999999999</v>
      </c>
      <c r="H53" s="6">
        <f t="shared" si="2"/>
        <v>50.435781633784963</v>
      </c>
    </row>
    <row r="54" spans="1:8" ht="78.75" x14ac:dyDescent="0.25">
      <c r="A54" s="25" t="s">
        <v>143</v>
      </c>
      <c r="B54" s="20" t="s">
        <v>134</v>
      </c>
      <c r="C54" s="20" t="s">
        <v>166</v>
      </c>
      <c r="D54" s="40" t="s">
        <v>907</v>
      </c>
      <c r="E54" s="20" t="s">
        <v>144</v>
      </c>
      <c r="F54" s="308">
        <f>F55</f>
        <v>2524.1999999999998</v>
      </c>
      <c r="G54" s="308">
        <f t="shared" si="27"/>
        <v>1273.0999999999999</v>
      </c>
      <c r="H54" s="6">
        <f t="shared" si="2"/>
        <v>50.435781633784963</v>
      </c>
    </row>
    <row r="55" spans="1:8" ht="31.5" x14ac:dyDescent="0.25">
      <c r="A55" s="25" t="s">
        <v>145</v>
      </c>
      <c r="B55" s="20" t="s">
        <v>134</v>
      </c>
      <c r="C55" s="20" t="s">
        <v>166</v>
      </c>
      <c r="D55" s="40" t="s">
        <v>907</v>
      </c>
      <c r="E55" s="20" t="s">
        <v>146</v>
      </c>
      <c r="F55" s="308">
        <f>'Пр.4 ведом.20'!G41</f>
        <v>2524.1999999999998</v>
      </c>
      <c r="G55" s="308">
        <f>'Пр.4 ведом.20'!H41</f>
        <v>1273.0999999999999</v>
      </c>
      <c r="H55" s="6">
        <f t="shared" si="2"/>
        <v>50.435781633784963</v>
      </c>
    </row>
    <row r="56" spans="1:8" s="217" customFormat="1" ht="47.25" x14ac:dyDescent="0.25">
      <c r="A56" s="25" t="s">
        <v>885</v>
      </c>
      <c r="B56" s="40" t="s">
        <v>134</v>
      </c>
      <c r="C56" s="20" t="s">
        <v>166</v>
      </c>
      <c r="D56" s="40" t="s">
        <v>908</v>
      </c>
      <c r="E56" s="40"/>
      <c r="F56" s="28">
        <f>F57</f>
        <v>1890</v>
      </c>
      <c r="G56" s="28">
        <f t="shared" ref="G56:G57" si="28">G57</f>
        <v>936.6</v>
      </c>
      <c r="H56" s="6">
        <f t="shared" si="2"/>
        <v>49.555555555555557</v>
      </c>
    </row>
    <row r="57" spans="1:8" s="217" customFormat="1" ht="78.75" x14ac:dyDescent="0.25">
      <c r="A57" s="25" t="s">
        <v>143</v>
      </c>
      <c r="B57" s="40" t="s">
        <v>134</v>
      </c>
      <c r="C57" s="20" t="s">
        <v>166</v>
      </c>
      <c r="D57" s="40" t="s">
        <v>908</v>
      </c>
      <c r="E57" s="40" t="s">
        <v>144</v>
      </c>
      <c r="F57" s="28">
        <f>F58</f>
        <v>1890</v>
      </c>
      <c r="G57" s="28">
        <f t="shared" si="28"/>
        <v>936.6</v>
      </c>
      <c r="H57" s="6">
        <f t="shared" si="2"/>
        <v>49.555555555555557</v>
      </c>
    </row>
    <row r="58" spans="1:8" s="217" customFormat="1" ht="31.5" x14ac:dyDescent="0.25">
      <c r="A58" s="25" t="s">
        <v>145</v>
      </c>
      <c r="B58" s="40" t="s">
        <v>134</v>
      </c>
      <c r="C58" s="20" t="s">
        <v>166</v>
      </c>
      <c r="D58" s="40" t="s">
        <v>908</v>
      </c>
      <c r="E58" s="40" t="s">
        <v>146</v>
      </c>
      <c r="F58" s="28">
        <f>'Пр.4 ведом.20'!G506+'Пр.4 ведом.20'!G44</f>
        <v>1890</v>
      </c>
      <c r="G58" s="28">
        <f>'Пр.4 ведом.20'!H506+'Пр.4 ведом.20'!H44</f>
        <v>936.6</v>
      </c>
      <c r="H58" s="6">
        <f t="shared" si="2"/>
        <v>49.555555555555557</v>
      </c>
    </row>
    <row r="59" spans="1:8" s="217" customFormat="1" ht="31.5" x14ac:dyDescent="0.25">
      <c r="A59" s="23" t="s">
        <v>932</v>
      </c>
      <c r="B59" s="7" t="s">
        <v>134</v>
      </c>
      <c r="C59" s="24" t="s">
        <v>166</v>
      </c>
      <c r="D59" s="7" t="s">
        <v>909</v>
      </c>
      <c r="E59" s="7"/>
      <c r="F59" s="4">
        <f>F60+F68+F73+F78+F63+F83</f>
        <v>3274.6</v>
      </c>
      <c r="G59" s="4">
        <f t="shared" ref="G59" si="29">G60+G68+G73+G78+G63+G83</f>
        <v>1366.3000000000002</v>
      </c>
      <c r="H59" s="4">
        <f t="shared" si="2"/>
        <v>41.724180052525504</v>
      </c>
    </row>
    <row r="60" spans="1:8" s="217" customFormat="1" ht="47.25" x14ac:dyDescent="0.25">
      <c r="A60" s="25" t="s">
        <v>203</v>
      </c>
      <c r="B60" s="40" t="s">
        <v>134</v>
      </c>
      <c r="C60" s="20" t="s">
        <v>166</v>
      </c>
      <c r="D60" s="40" t="s">
        <v>1258</v>
      </c>
      <c r="E60" s="7"/>
      <c r="F60" s="10">
        <f>F61</f>
        <v>6</v>
      </c>
      <c r="G60" s="335">
        <f t="shared" ref="G60" si="30">G61</f>
        <v>0</v>
      </c>
      <c r="H60" s="6">
        <f t="shared" si="2"/>
        <v>0</v>
      </c>
    </row>
    <row r="61" spans="1:8" s="217" customFormat="1" ht="31.5" x14ac:dyDescent="0.25">
      <c r="A61" s="25" t="s">
        <v>147</v>
      </c>
      <c r="B61" s="40" t="s">
        <v>134</v>
      </c>
      <c r="C61" s="20" t="s">
        <v>166</v>
      </c>
      <c r="D61" s="40" t="s">
        <v>1258</v>
      </c>
      <c r="E61" s="40" t="s">
        <v>148</v>
      </c>
      <c r="F61" s="10">
        <f t="shared" ref="F61:G61" si="31">F62</f>
        <v>6</v>
      </c>
      <c r="G61" s="335">
        <f t="shared" si="31"/>
        <v>0</v>
      </c>
      <c r="H61" s="6">
        <f t="shared" si="2"/>
        <v>0</v>
      </c>
    </row>
    <row r="62" spans="1:8" s="217" customFormat="1" ht="31.5" x14ac:dyDescent="0.25">
      <c r="A62" s="25" t="s">
        <v>149</v>
      </c>
      <c r="B62" s="40" t="s">
        <v>134</v>
      </c>
      <c r="C62" s="20" t="s">
        <v>166</v>
      </c>
      <c r="D62" s="40" t="s">
        <v>1258</v>
      </c>
      <c r="E62" s="40" t="s">
        <v>150</v>
      </c>
      <c r="F62" s="10">
        <f>'Пр.4 ведом.20'!G48</f>
        <v>6</v>
      </c>
      <c r="G62" s="335">
        <f>'Пр.4 ведом.20'!H48</f>
        <v>0</v>
      </c>
      <c r="H62" s="6">
        <f t="shared" si="2"/>
        <v>0</v>
      </c>
    </row>
    <row r="63" spans="1:8" s="217" customFormat="1" ht="47.25" x14ac:dyDescent="0.25">
      <c r="A63" s="31" t="s">
        <v>1416</v>
      </c>
      <c r="B63" s="20" t="s">
        <v>134</v>
      </c>
      <c r="C63" s="20" t="s">
        <v>166</v>
      </c>
      <c r="D63" s="20" t="s">
        <v>1415</v>
      </c>
      <c r="E63" s="20"/>
      <c r="F63" s="26">
        <f>F64+F66</f>
        <v>92.6</v>
      </c>
      <c r="G63" s="343">
        <f t="shared" ref="G63" si="32">G64+G66</f>
        <v>0</v>
      </c>
      <c r="H63" s="6">
        <f t="shared" si="2"/>
        <v>0</v>
      </c>
    </row>
    <row r="64" spans="1:8" s="217" customFormat="1" ht="78.75" hidden="1" x14ac:dyDescent="0.25">
      <c r="A64" s="25" t="s">
        <v>143</v>
      </c>
      <c r="B64" s="20" t="s">
        <v>134</v>
      </c>
      <c r="C64" s="20" t="s">
        <v>166</v>
      </c>
      <c r="D64" s="20" t="s">
        <v>1415</v>
      </c>
      <c r="E64" s="20" t="s">
        <v>144</v>
      </c>
      <c r="F64" s="26">
        <f>F65</f>
        <v>0</v>
      </c>
      <c r="G64" s="343">
        <f t="shared" ref="G64" si="33">G65</f>
        <v>0</v>
      </c>
      <c r="H64" s="6" t="e">
        <f t="shared" si="2"/>
        <v>#DIV/0!</v>
      </c>
    </row>
    <row r="65" spans="1:8" s="217" customFormat="1" ht="31.5" hidden="1" x14ac:dyDescent="0.25">
      <c r="A65" s="25" t="s">
        <v>145</v>
      </c>
      <c r="B65" s="20" t="s">
        <v>134</v>
      </c>
      <c r="C65" s="20" t="s">
        <v>166</v>
      </c>
      <c r="D65" s="20" t="s">
        <v>1415</v>
      </c>
      <c r="E65" s="20" t="s">
        <v>146</v>
      </c>
      <c r="F65" s="26">
        <f>'Пр.4 ведом.20'!G51</f>
        <v>0</v>
      </c>
      <c r="G65" s="343">
        <f>'Пр.4 ведом.20'!H51</f>
        <v>0</v>
      </c>
      <c r="H65" s="6" t="e">
        <f t="shared" si="2"/>
        <v>#DIV/0!</v>
      </c>
    </row>
    <row r="66" spans="1:8" s="331" customFormat="1" ht="31.5" x14ac:dyDescent="0.25">
      <c r="A66" s="342" t="s">
        <v>147</v>
      </c>
      <c r="B66" s="338" t="s">
        <v>134</v>
      </c>
      <c r="C66" s="338" t="s">
        <v>166</v>
      </c>
      <c r="D66" s="338" t="s">
        <v>1415</v>
      </c>
      <c r="E66" s="338" t="s">
        <v>148</v>
      </c>
      <c r="F66" s="343">
        <f>F67</f>
        <v>92.6</v>
      </c>
      <c r="G66" s="343">
        <f t="shared" ref="G66" si="34">G67</f>
        <v>0</v>
      </c>
      <c r="H66" s="6">
        <f t="shared" si="2"/>
        <v>0</v>
      </c>
    </row>
    <row r="67" spans="1:8" s="331" customFormat="1" ht="31.5" x14ac:dyDescent="0.25">
      <c r="A67" s="342" t="s">
        <v>149</v>
      </c>
      <c r="B67" s="338" t="s">
        <v>134</v>
      </c>
      <c r="C67" s="338" t="s">
        <v>166</v>
      </c>
      <c r="D67" s="338" t="s">
        <v>1415</v>
      </c>
      <c r="E67" s="338" t="s">
        <v>150</v>
      </c>
      <c r="F67" s="343">
        <f>'Пр.4 ведом.20'!G53</f>
        <v>92.6</v>
      </c>
      <c r="G67" s="343">
        <f>'Пр.4 ведом.20'!H53</f>
        <v>0</v>
      </c>
      <c r="H67" s="6">
        <f t="shared" si="2"/>
        <v>0</v>
      </c>
    </row>
    <row r="68" spans="1:8" s="217" customFormat="1" ht="47.25" x14ac:dyDescent="0.25">
      <c r="A68" s="45" t="s">
        <v>205</v>
      </c>
      <c r="B68" s="40" t="s">
        <v>134</v>
      </c>
      <c r="C68" s="20" t="s">
        <v>166</v>
      </c>
      <c r="D68" s="40" t="s">
        <v>993</v>
      </c>
      <c r="E68" s="40"/>
      <c r="F68" s="6">
        <f>F69+F71</f>
        <v>604.80000000000007</v>
      </c>
      <c r="G68" s="6">
        <f t="shared" ref="G68" si="35">G69+G71</f>
        <v>312.5</v>
      </c>
      <c r="H68" s="6">
        <f t="shared" si="2"/>
        <v>51.669973544973537</v>
      </c>
    </row>
    <row r="69" spans="1:8" s="217" customFormat="1" ht="78.75" x14ac:dyDescent="0.25">
      <c r="A69" s="29" t="s">
        <v>143</v>
      </c>
      <c r="B69" s="40" t="s">
        <v>134</v>
      </c>
      <c r="C69" s="20" t="s">
        <v>166</v>
      </c>
      <c r="D69" s="40" t="s">
        <v>993</v>
      </c>
      <c r="E69" s="40" t="s">
        <v>144</v>
      </c>
      <c r="F69" s="6">
        <f t="shared" ref="F69:G69" si="36">F70</f>
        <v>528.70000000000005</v>
      </c>
      <c r="G69" s="6">
        <f t="shared" si="36"/>
        <v>312.5</v>
      </c>
      <c r="H69" s="6">
        <f t="shared" si="2"/>
        <v>59.107244183847165</v>
      </c>
    </row>
    <row r="70" spans="1:8" s="217" customFormat="1" ht="31.5" x14ac:dyDescent="0.25">
      <c r="A70" s="29" t="s">
        <v>145</v>
      </c>
      <c r="B70" s="40" t="s">
        <v>134</v>
      </c>
      <c r="C70" s="20" t="s">
        <v>166</v>
      </c>
      <c r="D70" s="40" t="s">
        <v>993</v>
      </c>
      <c r="E70" s="40" t="s">
        <v>146</v>
      </c>
      <c r="F70" s="6">
        <f>'Пр.4 ведом.20'!G56</f>
        <v>528.70000000000005</v>
      </c>
      <c r="G70" s="6">
        <f>'Пр.4 ведом.20'!H56</f>
        <v>312.5</v>
      </c>
      <c r="H70" s="6">
        <f t="shared" si="2"/>
        <v>59.107244183847165</v>
      </c>
    </row>
    <row r="71" spans="1:8" s="217" customFormat="1" ht="31.5" x14ac:dyDescent="0.25">
      <c r="A71" s="25" t="s">
        <v>147</v>
      </c>
      <c r="B71" s="40" t="s">
        <v>134</v>
      </c>
      <c r="C71" s="20" t="s">
        <v>166</v>
      </c>
      <c r="D71" s="40" t="s">
        <v>993</v>
      </c>
      <c r="E71" s="40" t="s">
        <v>148</v>
      </c>
      <c r="F71" s="6">
        <f>F72</f>
        <v>76.099999999999994</v>
      </c>
      <c r="G71" s="6">
        <f t="shared" ref="G71" si="37">G72</f>
        <v>0</v>
      </c>
      <c r="H71" s="6">
        <f t="shared" si="2"/>
        <v>0</v>
      </c>
    </row>
    <row r="72" spans="1:8" s="217" customFormat="1" ht="31.5" x14ac:dyDescent="0.25">
      <c r="A72" s="25" t="s">
        <v>149</v>
      </c>
      <c r="B72" s="40" t="s">
        <v>134</v>
      </c>
      <c r="C72" s="20" t="s">
        <v>166</v>
      </c>
      <c r="D72" s="40" t="s">
        <v>993</v>
      </c>
      <c r="E72" s="40" t="s">
        <v>150</v>
      </c>
      <c r="F72" s="6">
        <f>'Пр.4 ведом.20'!G58</f>
        <v>76.099999999999994</v>
      </c>
      <c r="G72" s="6">
        <f>'Пр.4 ведом.20'!H58</f>
        <v>0</v>
      </c>
      <c r="H72" s="6">
        <f t="shared" si="2"/>
        <v>0</v>
      </c>
    </row>
    <row r="73" spans="1:8" s="217" customFormat="1" ht="47.25" x14ac:dyDescent="0.25">
      <c r="A73" s="31" t="s">
        <v>210</v>
      </c>
      <c r="B73" s="40" t="s">
        <v>134</v>
      </c>
      <c r="C73" s="20" t="s">
        <v>166</v>
      </c>
      <c r="D73" s="40" t="s">
        <v>1195</v>
      </c>
      <c r="E73" s="40"/>
      <c r="F73" s="6">
        <f>F74+F76</f>
        <v>1433.3</v>
      </c>
      <c r="G73" s="6">
        <f t="shared" ref="G73" si="38">G74+G76</f>
        <v>637.40000000000009</v>
      </c>
      <c r="H73" s="6">
        <f t="shared" si="2"/>
        <v>44.47080164654993</v>
      </c>
    </row>
    <row r="74" spans="1:8" s="217" customFormat="1" ht="78.75" x14ac:dyDescent="0.25">
      <c r="A74" s="29" t="s">
        <v>143</v>
      </c>
      <c r="B74" s="40" t="s">
        <v>134</v>
      </c>
      <c r="C74" s="20" t="s">
        <v>166</v>
      </c>
      <c r="D74" s="40" t="s">
        <v>1195</v>
      </c>
      <c r="E74" s="40" t="s">
        <v>144</v>
      </c>
      <c r="F74" s="6">
        <f t="shared" ref="F74:G74" si="39">F75</f>
        <v>1372.1</v>
      </c>
      <c r="G74" s="6">
        <f t="shared" si="39"/>
        <v>623.20000000000005</v>
      </c>
      <c r="H74" s="6">
        <f t="shared" si="2"/>
        <v>45.41943007069456</v>
      </c>
    </row>
    <row r="75" spans="1:8" s="217" customFormat="1" ht="31.5" x14ac:dyDescent="0.25">
      <c r="A75" s="29" t="s">
        <v>145</v>
      </c>
      <c r="B75" s="40" t="s">
        <v>134</v>
      </c>
      <c r="C75" s="20" t="s">
        <v>166</v>
      </c>
      <c r="D75" s="40" t="s">
        <v>1195</v>
      </c>
      <c r="E75" s="40" t="s">
        <v>146</v>
      </c>
      <c r="F75" s="6">
        <f>'Пр.4 ведом.20'!G61</f>
        <v>1372.1</v>
      </c>
      <c r="G75" s="6">
        <f>'Пр.4 ведом.20'!H61</f>
        <v>623.20000000000005</v>
      </c>
      <c r="H75" s="6">
        <f t="shared" ref="H75:H138" si="40">G75/F75*100</f>
        <v>45.41943007069456</v>
      </c>
    </row>
    <row r="76" spans="1:8" s="217" customFormat="1" ht="31.5" x14ac:dyDescent="0.25">
      <c r="A76" s="25" t="s">
        <v>147</v>
      </c>
      <c r="B76" s="40" t="s">
        <v>134</v>
      </c>
      <c r="C76" s="20" t="s">
        <v>166</v>
      </c>
      <c r="D76" s="40" t="s">
        <v>1195</v>
      </c>
      <c r="E76" s="40" t="s">
        <v>148</v>
      </c>
      <c r="F76" s="6">
        <f>F77</f>
        <v>61.2</v>
      </c>
      <c r="G76" s="6">
        <f t="shared" ref="G76" si="41">G77</f>
        <v>14.2</v>
      </c>
      <c r="H76" s="6">
        <f t="shared" si="40"/>
        <v>23.202614379084967</v>
      </c>
    </row>
    <row r="77" spans="1:8" s="217" customFormat="1" ht="31.5" x14ac:dyDescent="0.25">
      <c r="A77" s="25" t="s">
        <v>149</v>
      </c>
      <c r="B77" s="40" t="s">
        <v>134</v>
      </c>
      <c r="C77" s="20" t="s">
        <v>166</v>
      </c>
      <c r="D77" s="40" t="s">
        <v>1195</v>
      </c>
      <c r="E77" s="40" t="s">
        <v>150</v>
      </c>
      <c r="F77" s="6">
        <f>'Пр.4 ведом.20'!G63</f>
        <v>61.2</v>
      </c>
      <c r="G77" s="6">
        <f>'Пр.4 ведом.20'!H63</f>
        <v>14.2</v>
      </c>
      <c r="H77" s="6">
        <f t="shared" si="40"/>
        <v>23.202614379084967</v>
      </c>
    </row>
    <row r="78" spans="1:8" ht="47.25" x14ac:dyDescent="0.25">
      <c r="A78" s="45" t="s">
        <v>212</v>
      </c>
      <c r="B78" s="40" t="s">
        <v>134</v>
      </c>
      <c r="C78" s="20" t="s">
        <v>166</v>
      </c>
      <c r="D78" s="40" t="s">
        <v>994</v>
      </c>
      <c r="E78" s="40"/>
      <c r="F78" s="6">
        <f t="shared" ref="F78:G78" si="42">F79+F81</f>
        <v>1115.9000000000001</v>
      </c>
      <c r="G78" s="6">
        <f t="shared" si="42"/>
        <v>416.40000000000003</v>
      </c>
      <c r="H78" s="6">
        <f t="shared" si="40"/>
        <v>37.31517161035935</v>
      </c>
    </row>
    <row r="79" spans="1:8" ht="81.75" customHeight="1" x14ac:dyDescent="0.25">
      <c r="A79" s="29" t="s">
        <v>143</v>
      </c>
      <c r="B79" s="40" t="s">
        <v>134</v>
      </c>
      <c r="C79" s="20" t="s">
        <v>166</v>
      </c>
      <c r="D79" s="40" t="s">
        <v>994</v>
      </c>
      <c r="E79" s="40" t="s">
        <v>144</v>
      </c>
      <c r="F79" s="6">
        <f t="shared" ref="F79:G79" si="43">F80</f>
        <v>1081.9000000000001</v>
      </c>
      <c r="G79" s="6">
        <f t="shared" si="43"/>
        <v>411.6</v>
      </c>
      <c r="H79" s="6">
        <f t="shared" si="40"/>
        <v>38.044181532489141</v>
      </c>
    </row>
    <row r="80" spans="1:8" ht="36" customHeight="1" x14ac:dyDescent="0.25">
      <c r="A80" s="29" t="s">
        <v>145</v>
      </c>
      <c r="B80" s="40" t="s">
        <v>134</v>
      </c>
      <c r="C80" s="20" t="s">
        <v>166</v>
      </c>
      <c r="D80" s="40" t="s">
        <v>994</v>
      </c>
      <c r="E80" s="40" t="s">
        <v>146</v>
      </c>
      <c r="F80" s="6">
        <f>'Пр.4 ведом.20'!G66</f>
        <v>1081.9000000000001</v>
      </c>
      <c r="G80" s="6">
        <f>'Пр.4 ведом.20'!H66</f>
        <v>411.6</v>
      </c>
      <c r="H80" s="6">
        <f t="shared" si="40"/>
        <v>38.044181532489141</v>
      </c>
    </row>
    <row r="81" spans="1:8" ht="31.5" x14ac:dyDescent="0.25">
      <c r="A81" s="29" t="s">
        <v>147</v>
      </c>
      <c r="B81" s="40" t="s">
        <v>134</v>
      </c>
      <c r="C81" s="20" t="s">
        <v>166</v>
      </c>
      <c r="D81" s="40" t="s">
        <v>994</v>
      </c>
      <c r="E81" s="40" t="s">
        <v>148</v>
      </c>
      <c r="F81" s="6">
        <f t="shared" ref="F81:G81" si="44">F82</f>
        <v>34.000000000000007</v>
      </c>
      <c r="G81" s="6">
        <f t="shared" si="44"/>
        <v>4.8</v>
      </c>
      <c r="H81" s="6">
        <f t="shared" si="40"/>
        <v>14.117647058823527</v>
      </c>
    </row>
    <row r="82" spans="1:8" ht="31.5" x14ac:dyDescent="0.25">
      <c r="A82" s="29" t="s">
        <v>149</v>
      </c>
      <c r="B82" s="40" t="s">
        <v>134</v>
      </c>
      <c r="C82" s="20" t="s">
        <v>166</v>
      </c>
      <c r="D82" s="40" t="s">
        <v>994</v>
      </c>
      <c r="E82" s="40" t="s">
        <v>150</v>
      </c>
      <c r="F82" s="6">
        <f>'Пр.4 ведом.20'!G68</f>
        <v>34.000000000000007</v>
      </c>
      <c r="G82" s="6">
        <f>'Пр.4 ведом.20'!H68</f>
        <v>4.8</v>
      </c>
      <c r="H82" s="6">
        <f t="shared" si="40"/>
        <v>14.117647058823527</v>
      </c>
    </row>
    <row r="83" spans="1:8" s="217" customFormat="1" ht="94.5" x14ac:dyDescent="0.25">
      <c r="A83" s="31" t="s">
        <v>1409</v>
      </c>
      <c r="B83" s="20" t="s">
        <v>134</v>
      </c>
      <c r="C83" s="20" t="s">
        <v>166</v>
      </c>
      <c r="D83" s="20" t="s">
        <v>1408</v>
      </c>
      <c r="E83" s="20"/>
      <c r="F83" s="26">
        <f>F84</f>
        <v>22</v>
      </c>
      <c r="G83" s="343">
        <f t="shared" ref="G83:G84" si="45">G84</f>
        <v>0</v>
      </c>
      <c r="H83" s="6">
        <f t="shared" si="40"/>
        <v>0</v>
      </c>
    </row>
    <row r="84" spans="1:8" s="217" customFormat="1" ht="78.75" x14ac:dyDescent="0.25">
      <c r="A84" s="25" t="s">
        <v>143</v>
      </c>
      <c r="B84" s="20" t="s">
        <v>134</v>
      </c>
      <c r="C84" s="20" t="s">
        <v>166</v>
      </c>
      <c r="D84" s="20" t="s">
        <v>1408</v>
      </c>
      <c r="E84" s="20" t="s">
        <v>144</v>
      </c>
      <c r="F84" s="26">
        <f>F85</f>
        <v>22</v>
      </c>
      <c r="G84" s="343">
        <f t="shared" si="45"/>
        <v>0</v>
      </c>
      <c r="H84" s="6">
        <f t="shared" si="40"/>
        <v>0</v>
      </c>
    </row>
    <row r="85" spans="1:8" s="217" customFormat="1" ht="31.5" x14ac:dyDescent="0.25">
      <c r="A85" s="25" t="s">
        <v>145</v>
      </c>
      <c r="B85" s="20" t="s">
        <v>134</v>
      </c>
      <c r="C85" s="20" t="s">
        <v>166</v>
      </c>
      <c r="D85" s="20" t="s">
        <v>1408</v>
      </c>
      <c r="E85" s="20" t="s">
        <v>146</v>
      </c>
      <c r="F85" s="26">
        <f>'Пр.4 ведом.20'!G510</f>
        <v>22</v>
      </c>
      <c r="G85" s="343">
        <f>'Пр.4 ведом.20'!H510</f>
        <v>0</v>
      </c>
      <c r="H85" s="6">
        <f t="shared" si="40"/>
        <v>0</v>
      </c>
    </row>
    <row r="86" spans="1:8" s="217" customFormat="1" ht="47.25" x14ac:dyDescent="0.25">
      <c r="A86" s="23" t="s">
        <v>820</v>
      </c>
      <c r="B86" s="24" t="s">
        <v>134</v>
      </c>
      <c r="C86" s="24" t="s">
        <v>166</v>
      </c>
      <c r="D86" s="24" t="s">
        <v>178</v>
      </c>
      <c r="E86" s="24"/>
      <c r="F86" s="4">
        <f>F87+F91+F97</f>
        <v>523</v>
      </c>
      <c r="G86" s="4">
        <f t="shared" ref="G86" si="46">G87+G91+G97</f>
        <v>279.90000000000003</v>
      </c>
      <c r="H86" s="4">
        <f t="shared" si="40"/>
        <v>53.518164435946467</v>
      </c>
    </row>
    <row r="87" spans="1:8" s="217" customFormat="1" ht="63" x14ac:dyDescent="0.25">
      <c r="A87" s="233" t="s">
        <v>1155</v>
      </c>
      <c r="B87" s="24" t="s">
        <v>134</v>
      </c>
      <c r="C87" s="24" t="s">
        <v>166</v>
      </c>
      <c r="D87" s="7" t="s">
        <v>895</v>
      </c>
      <c r="E87" s="24"/>
      <c r="F87" s="4">
        <f>F88</f>
        <v>446</v>
      </c>
      <c r="G87" s="4">
        <f t="shared" ref="G87:G89" si="47">G88</f>
        <v>261.60000000000002</v>
      </c>
      <c r="H87" s="4">
        <f t="shared" si="40"/>
        <v>58.654708520179376</v>
      </c>
    </row>
    <row r="88" spans="1:8" s="217" customFormat="1" ht="31.5" x14ac:dyDescent="0.25">
      <c r="A88" s="29" t="s">
        <v>1154</v>
      </c>
      <c r="B88" s="20" t="s">
        <v>134</v>
      </c>
      <c r="C88" s="20" t="s">
        <v>166</v>
      </c>
      <c r="D88" s="40" t="s">
        <v>887</v>
      </c>
      <c r="E88" s="20"/>
      <c r="F88" s="6">
        <f>F89</f>
        <v>446</v>
      </c>
      <c r="G88" s="6">
        <f t="shared" si="47"/>
        <v>261.60000000000002</v>
      </c>
      <c r="H88" s="6">
        <f t="shared" si="40"/>
        <v>58.654708520179376</v>
      </c>
    </row>
    <row r="89" spans="1:8" s="217" customFormat="1" ht="31.5" x14ac:dyDescent="0.25">
      <c r="A89" s="25" t="s">
        <v>147</v>
      </c>
      <c r="B89" s="20" t="s">
        <v>134</v>
      </c>
      <c r="C89" s="20" t="s">
        <v>166</v>
      </c>
      <c r="D89" s="40" t="s">
        <v>887</v>
      </c>
      <c r="E89" s="20" t="s">
        <v>148</v>
      </c>
      <c r="F89" s="6">
        <f>F90</f>
        <v>446</v>
      </c>
      <c r="G89" s="6">
        <f t="shared" si="47"/>
        <v>261.60000000000002</v>
      </c>
      <c r="H89" s="6">
        <f t="shared" si="40"/>
        <v>58.654708520179376</v>
      </c>
    </row>
    <row r="90" spans="1:8" s="217" customFormat="1" ht="31.5" x14ac:dyDescent="0.25">
      <c r="A90" s="25" t="s">
        <v>149</v>
      </c>
      <c r="B90" s="20" t="s">
        <v>134</v>
      </c>
      <c r="C90" s="20" t="s">
        <v>166</v>
      </c>
      <c r="D90" s="40" t="s">
        <v>887</v>
      </c>
      <c r="E90" s="20" t="s">
        <v>150</v>
      </c>
      <c r="F90" s="6">
        <f>'Пр.4 ведом.20'!G73</f>
        <v>446</v>
      </c>
      <c r="G90" s="6">
        <f>'Пр.4 ведом.20'!H73</f>
        <v>261.60000000000002</v>
      </c>
      <c r="H90" s="6">
        <f t="shared" si="40"/>
        <v>58.654708520179376</v>
      </c>
    </row>
    <row r="91" spans="1:8" s="217" customFormat="1" ht="63" x14ac:dyDescent="0.25">
      <c r="A91" s="232" t="s">
        <v>889</v>
      </c>
      <c r="B91" s="24" t="s">
        <v>134</v>
      </c>
      <c r="C91" s="24" t="s">
        <v>166</v>
      </c>
      <c r="D91" s="7" t="s">
        <v>896</v>
      </c>
      <c r="E91" s="24"/>
      <c r="F91" s="4">
        <f>F92</f>
        <v>76.5</v>
      </c>
      <c r="G91" s="4">
        <f t="shared" ref="G91" si="48">G92</f>
        <v>18.3</v>
      </c>
      <c r="H91" s="4">
        <f t="shared" si="40"/>
        <v>23.921568627450981</v>
      </c>
    </row>
    <row r="92" spans="1:8" s="217" customFormat="1" ht="47.25" x14ac:dyDescent="0.25">
      <c r="A92" s="178" t="s">
        <v>181</v>
      </c>
      <c r="B92" s="20" t="s">
        <v>134</v>
      </c>
      <c r="C92" s="20" t="s">
        <v>166</v>
      </c>
      <c r="D92" s="40" t="s">
        <v>888</v>
      </c>
      <c r="E92" s="20"/>
      <c r="F92" s="6">
        <f>F93+F95</f>
        <v>76.5</v>
      </c>
      <c r="G92" s="6">
        <f t="shared" ref="G92" si="49">G93+G95</f>
        <v>18.3</v>
      </c>
      <c r="H92" s="6">
        <f t="shared" si="40"/>
        <v>23.921568627450981</v>
      </c>
    </row>
    <row r="93" spans="1:8" s="217" customFormat="1" ht="78.75" x14ac:dyDescent="0.25">
      <c r="A93" s="25" t="s">
        <v>143</v>
      </c>
      <c r="B93" s="20" t="s">
        <v>134</v>
      </c>
      <c r="C93" s="20" t="s">
        <v>166</v>
      </c>
      <c r="D93" s="40" t="s">
        <v>888</v>
      </c>
      <c r="E93" s="20" t="s">
        <v>144</v>
      </c>
      <c r="F93" s="6">
        <f>F94</f>
        <v>37</v>
      </c>
      <c r="G93" s="6">
        <f t="shared" ref="G93" si="50">G94</f>
        <v>0</v>
      </c>
      <c r="H93" s="6">
        <f t="shared" si="40"/>
        <v>0</v>
      </c>
    </row>
    <row r="94" spans="1:8" s="217" customFormat="1" ht="31.5" x14ac:dyDescent="0.25">
      <c r="A94" s="25" t="s">
        <v>145</v>
      </c>
      <c r="B94" s="20" t="s">
        <v>134</v>
      </c>
      <c r="C94" s="20" t="s">
        <v>166</v>
      </c>
      <c r="D94" s="40" t="s">
        <v>888</v>
      </c>
      <c r="E94" s="20" t="s">
        <v>146</v>
      </c>
      <c r="F94" s="6">
        <f>'Пр.4 ведом.20'!G77</f>
        <v>37</v>
      </c>
      <c r="G94" s="6">
        <f>'Пр.4 ведом.20'!H77</f>
        <v>0</v>
      </c>
      <c r="H94" s="6">
        <f t="shared" si="40"/>
        <v>0</v>
      </c>
    </row>
    <row r="95" spans="1:8" s="217" customFormat="1" ht="31.5" x14ac:dyDescent="0.25">
      <c r="A95" s="25" t="s">
        <v>147</v>
      </c>
      <c r="B95" s="20" t="s">
        <v>134</v>
      </c>
      <c r="C95" s="20" t="s">
        <v>166</v>
      </c>
      <c r="D95" s="40" t="s">
        <v>888</v>
      </c>
      <c r="E95" s="20" t="s">
        <v>148</v>
      </c>
      <c r="F95" s="6">
        <f>F96</f>
        <v>39.5</v>
      </c>
      <c r="G95" s="6">
        <f t="shared" ref="G95" si="51">G96</f>
        <v>18.3</v>
      </c>
      <c r="H95" s="6">
        <f t="shared" si="40"/>
        <v>46.329113924050638</v>
      </c>
    </row>
    <row r="96" spans="1:8" s="217" customFormat="1" ht="31.5" x14ac:dyDescent="0.25">
      <c r="A96" s="25" t="s">
        <v>149</v>
      </c>
      <c r="B96" s="20" t="s">
        <v>134</v>
      </c>
      <c r="C96" s="20" t="s">
        <v>166</v>
      </c>
      <c r="D96" s="40" t="s">
        <v>888</v>
      </c>
      <c r="E96" s="20" t="s">
        <v>150</v>
      </c>
      <c r="F96" s="6">
        <f>'Пр.4 ведом.20'!G79</f>
        <v>39.5</v>
      </c>
      <c r="G96" s="6">
        <f>'Пр.4 ведом.20'!H79</f>
        <v>18.3</v>
      </c>
      <c r="H96" s="6">
        <f t="shared" si="40"/>
        <v>46.329113924050638</v>
      </c>
    </row>
    <row r="97" spans="1:8" s="217" customFormat="1" ht="63" x14ac:dyDescent="0.25">
      <c r="A97" s="234" t="s">
        <v>1156</v>
      </c>
      <c r="B97" s="24" t="s">
        <v>134</v>
      </c>
      <c r="C97" s="24" t="s">
        <v>166</v>
      </c>
      <c r="D97" s="7" t="s">
        <v>897</v>
      </c>
      <c r="E97" s="24"/>
      <c r="F97" s="4">
        <f>F98+F101</f>
        <v>0.5</v>
      </c>
      <c r="G97" s="4">
        <f t="shared" ref="G97" si="52">G98+G101</f>
        <v>0</v>
      </c>
      <c r="H97" s="4">
        <f t="shared" si="40"/>
        <v>0</v>
      </c>
    </row>
    <row r="98" spans="1:8" s="217" customFormat="1" ht="47.25" x14ac:dyDescent="0.25">
      <c r="A98" s="33" t="s">
        <v>207</v>
      </c>
      <c r="B98" s="20" t="s">
        <v>134</v>
      </c>
      <c r="C98" s="20" t="s">
        <v>166</v>
      </c>
      <c r="D98" s="40" t="s">
        <v>890</v>
      </c>
      <c r="E98" s="20"/>
      <c r="F98" s="6">
        <f>F99</f>
        <v>0.5</v>
      </c>
      <c r="G98" s="6">
        <f t="shared" ref="G98:G99" si="53">G99</f>
        <v>0</v>
      </c>
      <c r="H98" s="6">
        <f t="shared" si="40"/>
        <v>0</v>
      </c>
    </row>
    <row r="99" spans="1:8" s="217" customFormat="1" ht="31.5" x14ac:dyDescent="0.25">
      <c r="A99" s="25" t="s">
        <v>147</v>
      </c>
      <c r="B99" s="20" t="s">
        <v>134</v>
      </c>
      <c r="C99" s="20" t="s">
        <v>166</v>
      </c>
      <c r="D99" s="40" t="s">
        <v>890</v>
      </c>
      <c r="E99" s="20" t="s">
        <v>148</v>
      </c>
      <c r="F99" s="6">
        <f>F100</f>
        <v>0.5</v>
      </c>
      <c r="G99" s="6">
        <f t="shared" si="53"/>
        <v>0</v>
      </c>
      <c r="H99" s="6">
        <f t="shared" si="40"/>
        <v>0</v>
      </c>
    </row>
    <row r="100" spans="1:8" s="217" customFormat="1" ht="31.5" x14ac:dyDescent="0.25">
      <c r="A100" s="25" t="s">
        <v>149</v>
      </c>
      <c r="B100" s="20" t="s">
        <v>134</v>
      </c>
      <c r="C100" s="20" t="s">
        <v>166</v>
      </c>
      <c r="D100" s="40" t="s">
        <v>890</v>
      </c>
      <c r="E100" s="20" t="s">
        <v>150</v>
      </c>
      <c r="F100" s="6">
        <f>'Пр.4 ведом.20'!G83</f>
        <v>0.5</v>
      </c>
      <c r="G100" s="6">
        <f>'Пр.4 ведом.20'!H83</f>
        <v>0</v>
      </c>
      <c r="H100" s="6">
        <f t="shared" si="40"/>
        <v>0</v>
      </c>
    </row>
    <row r="101" spans="1:8" s="217" customFormat="1" ht="47.25" hidden="1" x14ac:dyDescent="0.25">
      <c r="A101" s="33" t="s">
        <v>207</v>
      </c>
      <c r="B101" s="20" t="s">
        <v>134</v>
      </c>
      <c r="C101" s="20" t="s">
        <v>166</v>
      </c>
      <c r="D101" s="20" t="s">
        <v>891</v>
      </c>
      <c r="E101" s="20"/>
      <c r="F101" s="6">
        <f>F102</f>
        <v>0</v>
      </c>
      <c r="G101" s="6">
        <f t="shared" ref="G101:G102" si="54">G102</f>
        <v>0</v>
      </c>
      <c r="H101" s="6" t="e">
        <f t="shared" si="40"/>
        <v>#DIV/0!</v>
      </c>
    </row>
    <row r="102" spans="1:8" s="217" customFormat="1" ht="31.5" hidden="1" x14ac:dyDescent="0.25">
      <c r="A102" s="25" t="s">
        <v>147</v>
      </c>
      <c r="B102" s="20" t="s">
        <v>134</v>
      </c>
      <c r="C102" s="20" t="s">
        <v>166</v>
      </c>
      <c r="D102" s="20" t="s">
        <v>891</v>
      </c>
      <c r="E102" s="20" t="s">
        <v>148</v>
      </c>
      <c r="F102" s="6">
        <f>F103</f>
        <v>0</v>
      </c>
      <c r="G102" s="6">
        <f t="shared" si="54"/>
        <v>0</v>
      </c>
      <c r="H102" s="6" t="e">
        <f t="shared" si="40"/>
        <v>#DIV/0!</v>
      </c>
    </row>
    <row r="103" spans="1:8" s="217" customFormat="1" ht="31.5" hidden="1" x14ac:dyDescent="0.25">
      <c r="A103" s="25" t="s">
        <v>149</v>
      </c>
      <c r="B103" s="20" t="s">
        <v>134</v>
      </c>
      <c r="C103" s="20" t="s">
        <v>166</v>
      </c>
      <c r="D103" s="20" t="s">
        <v>891</v>
      </c>
      <c r="E103" s="20" t="s">
        <v>150</v>
      </c>
      <c r="F103" s="6">
        <f>'Пр.4 ведом.20'!G86</f>
        <v>0</v>
      </c>
      <c r="G103" s="6">
        <f>'Пр.4 ведом.20'!H86</f>
        <v>0</v>
      </c>
      <c r="H103" s="6" t="e">
        <f t="shared" si="40"/>
        <v>#DIV/0!</v>
      </c>
    </row>
    <row r="104" spans="1:8" ht="47.25" x14ac:dyDescent="0.25">
      <c r="A104" s="41" t="s">
        <v>135</v>
      </c>
      <c r="B104" s="7" t="s">
        <v>134</v>
      </c>
      <c r="C104" s="7" t="s">
        <v>136</v>
      </c>
      <c r="D104" s="7"/>
      <c r="E104" s="7"/>
      <c r="F104" s="4">
        <f t="shared" ref="F104:G104" si="55">F105</f>
        <v>16220.2</v>
      </c>
      <c r="G104" s="4">
        <f t="shared" si="55"/>
        <v>7178.59</v>
      </c>
      <c r="H104" s="4">
        <f t="shared" si="40"/>
        <v>44.257099172636586</v>
      </c>
    </row>
    <row r="105" spans="1:8" ht="31.5" x14ac:dyDescent="0.25">
      <c r="A105" s="23" t="s">
        <v>990</v>
      </c>
      <c r="B105" s="7" t="s">
        <v>134</v>
      </c>
      <c r="C105" s="7" t="s">
        <v>136</v>
      </c>
      <c r="D105" s="7" t="s">
        <v>904</v>
      </c>
      <c r="E105" s="7"/>
      <c r="F105" s="4">
        <f>F115+F106</f>
        <v>16220.2</v>
      </c>
      <c r="G105" s="4">
        <f t="shared" ref="G105" si="56">G115+G106</f>
        <v>7178.59</v>
      </c>
      <c r="H105" s="4">
        <f t="shared" si="40"/>
        <v>44.257099172636586</v>
      </c>
    </row>
    <row r="106" spans="1:8" s="217" customFormat="1" ht="31.5" x14ac:dyDescent="0.25">
      <c r="A106" s="23" t="s">
        <v>1134</v>
      </c>
      <c r="B106" s="7" t="s">
        <v>134</v>
      </c>
      <c r="C106" s="7" t="s">
        <v>136</v>
      </c>
      <c r="D106" s="7" t="s">
        <v>1135</v>
      </c>
      <c r="E106" s="7"/>
      <c r="F106" s="4">
        <f>F107+F112</f>
        <v>1733.1</v>
      </c>
      <c r="G106" s="4">
        <f t="shared" ref="G106" si="57">G107+G112</f>
        <v>861.19</v>
      </c>
      <c r="H106" s="4">
        <f t="shared" si="40"/>
        <v>49.69072759794588</v>
      </c>
    </row>
    <row r="107" spans="1:8" s="217" customFormat="1" ht="31.5" x14ac:dyDescent="0.25">
      <c r="A107" s="25" t="s">
        <v>967</v>
      </c>
      <c r="B107" s="20" t="s">
        <v>134</v>
      </c>
      <c r="C107" s="20" t="s">
        <v>136</v>
      </c>
      <c r="D107" s="20" t="s">
        <v>1139</v>
      </c>
      <c r="E107" s="20"/>
      <c r="F107" s="6">
        <f>F108+F110</f>
        <v>1691.1</v>
      </c>
      <c r="G107" s="6">
        <f t="shared" ref="G107" si="58">G108+G110</f>
        <v>861.19</v>
      </c>
      <c r="H107" s="6">
        <f t="shared" si="40"/>
        <v>50.924841818934432</v>
      </c>
    </row>
    <row r="108" spans="1:8" s="217" customFormat="1" ht="78.75" x14ac:dyDescent="0.25">
      <c r="A108" s="25" t="s">
        <v>143</v>
      </c>
      <c r="B108" s="20" t="s">
        <v>134</v>
      </c>
      <c r="C108" s="20" t="s">
        <v>136</v>
      </c>
      <c r="D108" s="20" t="s">
        <v>1139</v>
      </c>
      <c r="E108" s="20" t="s">
        <v>144</v>
      </c>
      <c r="F108" s="6">
        <f>F109</f>
        <v>1673.1</v>
      </c>
      <c r="G108" s="6">
        <f t="shared" ref="G108" si="59">G109</f>
        <v>861.19</v>
      </c>
      <c r="H108" s="6">
        <f t="shared" si="40"/>
        <v>51.472715318869163</v>
      </c>
    </row>
    <row r="109" spans="1:8" s="217" customFormat="1" ht="31.5" x14ac:dyDescent="0.25">
      <c r="A109" s="25" t="s">
        <v>145</v>
      </c>
      <c r="B109" s="20" t="s">
        <v>134</v>
      </c>
      <c r="C109" s="20" t="s">
        <v>136</v>
      </c>
      <c r="D109" s="20" t="s">
        <v>1139</v>
      </c>
      <c r="E109" s="20" t="s">
        <v>146</v>
      </c>
      <c r="F109" s="6">
        <f>'Пр.4 ведом.20'!G1156</f>
        <v>1673.1</v>
      </c>
      <c r="G109" s="6">
        <f>'Пр.4 ведом.20'!H1156</f>
        <v>861.19</v>
      </c>
      <c r="H109" s="6">
        <f t="shared" si="40"/>
        <v>51.472715318869163</v>
      </c>
    </row>
    <row r="110" spans="1:8" s="217" customFormat="1" ht="31.5" x14ac:dyDescent="0.25">
      <c r="A110" s="25" t="s">
        <v>214</v>
      </c>
      <c r="B110" s="20" t="s">
        <v>134</v>
      </c>
      <c r="C110" s="20" t="s">
        <v>136</v>
      </c>
      <c r="D110" s="20" t="s">
        <v>1139</v>
      </c>
      <c r="E110" s="20" t="s">
        <v>148</v>
      </c>
      <c r="F110" s="6">
        <f>F111</f>
        <v>18</v>
      </c>
      <c r="G110" s="6">
        <f t="shared" ref="G110" si="60">G111</f>
        <v>0</v>
      </c>
      <c r="H110" s="6">
        <f t="shared" si="40"/>
        <v>0</v>
      </c>
    </row>
    <row r="111" spans="1:8" s="217" customFormat="1" ht="31.5" x14ac:dyDescent="0.25">
      <c r="A111" s="25" t="s">
        <v>149</v>
      </c>
      <c r="B111" s="20" t="s">
        <v>134</v>
      </c>
      <c r="C111" s="20" t="s">
        <v>136</v>
      </c>
      <c r="D111" s="20" t="s">
        <v>1139</v>
      </c>
      <c r="E111" s="20" t="s">
        <v>150</v>
      </c>
      <c r="F111" s="6">
        <f>'Пр.4 ведом.20'!G1158</f>
        <v>18</v>
      </c>
      <c r="G111" s="6">
        <f>'Пр.4 ведом.20'!H1158</f>
        <v>0</v>
      </c>
      <c r="H111" s="6">
        <f t="shared" si="40"/>
        <v>0</v>
      </c>
    </row>
    <row r="112" spans="1:8" s="217" customFormat="1" ht="47.25" x14ac:dyDescent="0.25">
      <c r="A112" s="25" t="s">
        <v>885</v>
      </c>
      <c r="B112" s="20" t="s">
        <v>134</v>
      </c>
      <c r="C112" s="20" t="s">
        <v>136</v>
      </c>
      <c r="D112" s="20" t="s">
        <v>1137</v>
      </c>
      <c r="E112" s="20"/>
      <c r="F112" s="6">
        <f>F113</f>
        <v>42</v>
      </c>
      <c r="G112" s="6">
        <f t="shared" ref="G112:G113" si="61">G113</f>
        <v>0</v>
      </c>
      <c r="H112" s="6">
        <f t="shared" si="40"/>
        <v>0</v>
      </c>
    </row>
    <row r="113" spans="1:8" s="217" customFormat="1" ht="78.75" x14ac:dyDescent="0.25">
      <c r="A113" s="25" t="s">
        <v>143</v>
      </c>
      <c r="B113" s="20" t="s">
        <v>134</v>
      </c>
      <c r="C113" s="20" t="s">
        <v>136</v>
      </c>
      <c r="D113" s="20" t="s">
        <v>1137</v>
      </c>
      <c r="E113" s="20" t="s">
        <v>144</v>
      </c>
      <c r="F113" s="6">
        <f>F114</f>
        <v>42</v>
      </c>
      <c r="G113" s="6">
        <f t="shared" si="61"/>
        <v>0</v>
      </c>
      <c r="H113" s="6">
        <f t="shared" si="40"/>
        <v>0</v>
      </c>
    </row>
    <row r="114" spans="1:8" s="217" customFormat="1" ht="31.5" x14ac:dyDescent="0.25">
      <c r="A114" s="25" t="s">
        <v>145</v>
      </c>
      <c r="B114" s="20" t="s">
        <v>134</v>
      </c>
      <c r="C114" s="20" t="s">
        <v>136</v>
      </c>
      <c r="D114" s="20" t="s">
        <v>1137</v>
      </c>
      <c r="E114" s="20" t="s">
        <v>146</v>
      </c>
      <c r="F114" s="6">
        <f>'Пр.4 ведом.20'!G1161</f>
        <v>42</v>
      </c>
      <c r="G114" s="6">
        <f>'Пр.4 ведом.20'!H1161</f>
        <v>0</v>
      </c>
      <c r="H114" s="6">
        <f t="shared" si="40"/>
        <v>0</v>
      </c>
    </row>
    <row r="115" spans="1:8" ht="15.75" x14ac:dyDescent="0.25">
      <c r="A115" s="23" t="s">
        <v>991</v>
      </c>
      <c r="B115" s="7" t="s">
        <v>134</v>
      </c>
      <c r="C115" s="7" t="s">
        <v>136</v>
      </c>
      <c r="D115" s="7" t="s">
        <v>905</v>
      </c>
      <c r="E115" s="7"/>
      <c r="F115" s="4">
        <f>F116+F123</f>
        <v>14487.1</v>
      </c>
      <c r="G115" s="4">
        <f t="shared" ref="G115" si="62">G116+G123</f>
        <v>6317.4</v>
      </c>
      <c r="H115" s="4">
        <f t="shared" si="40"/>
        <v>43.607071118443301</v>
      </c>
    </row>
    <row r="116" spans="1:8" ht="37.5" customHeight="1" x14ac:dyDescent="0.25">
      <c r="A116" s="29" t="s">
        <v>967</v>
      </c>
      <c r="B116" s="40" t="s">
        <v>134</v>
      </c>
      <c r="C116" s="40" t="s">
        <v>136</v>
      </c>
      <c r="D116" s="40" t="s">
        <v>906</v>
      </c>
      <c r="E116" s="40"/>
      <c r="F116" s="6">
        <f t="shared" ref="F116:G116" si="63">F117+F119+F121</f>
        <v>14152.1</v>
      </c>
      <c r="G116" s="6">
        <f t="shared" si="63"/>
        <v>6181.4</v>
      </c>
      <c r="H116" s="6">
        <f t="shared" si="40"/>
        <v>43.678323358370839</v>
      </c>
    </row>
    <row r="117" spans="1:8" ht="78.75" x14ac:dyDescent="0.25">
      <c r="A117" s="29" t="s">
        <v>143</v>
      </c>
      <c r="B117" s="40" t="s">
        <v>134</v>
      </c>
      <c r="C117" s="40" t="s">
        <v>136</v>
      </c>
      <c r="D117" s="40" t="s">
        <v>906</v>
      </c>
      <c r="E117" s="40" t="s">
        <v>144</v>
      </c>
      <c r="F117" s="6">
        <f t="shared" ref="F117:G117" si="64">F118</f>
        <v>13147.1</v>
      </c>
      <c r="G117" s="6">
        <f t="shared" si="64"/>
        <v>5990.7</v>
      </c>
      <c r="H117" s="6">
        <f t="shared" si="40"/>
        <v>45.56670292307809</v>
      </c>
    </row>
    <row r="118" spans="1:8" ht="31.5" x14ac:dyDescent="0.25">
      <c r="A118" s="29" t="s">
        <v>145</v>
      </c>
      <c r="B118" s="40" t="s">
        <v>134</v>
      </c>
      <c r="C118" s="40" t="s">
        <v>136</v>
      </c>
      <c r="D118" s="40" t="s">
        <v>906</v>
      </c>
      <c r="E118" s="40" t="s">
        <v>146</v>
      </c>
      <c r="F118" s="308">
        <f>'Пр.4 ведом.20'!G17+'Пр.4 ведом.20'!G92</f>
        <v>13147.1</v>
      </c>
      <c r="G118" s="308">
        <f>'Пр.4 ведом.20'!H17+'Пр.4 ведом.20'!H92</f>
        <v>5990.7</v>
      </c>
      <c r="H118" s="6">
        <f t="shared" si="40"/>
        <v>45.56670292307809</v>
      </c>
    </row>
    <row r="119" spans="1:8" ht="31.5" x14ac:dyDescent="0.25">
      <c r="A119" s="29" t="s">
        <v>147</v>
      </c>
      <c r="B119" s="40" t="s">
        <v>134</v>
      </c>
      <c r="C119" s="40" t="s">
        <v>136</v>
      </c>
      <c r="D119" s="40" t="s">
        <v>906</v>
      </c>
      <c r="E119" s="40" t="s">
        <v>148</v>
      </c>
      <c r="F119" s="6">
        <f t="shared" ref="F119:G119" si="65">F120</f>
        <v>977</v>
      </c>
      <c r="G119" s="6">
        <f t="shared" si="65"/>
        <v>190.7</v>
      </c>
      <c r="H119" s="6">
        <f t="shared" si="40"/>
        <v>19.518935516888433</v>
      </c>
    </row>
    <row r="120" spans="1:8" ht="31.5" x14ac:dyDescent="0.25">
      <c r="A120" s="29" t="s">
        <v>149</v>
      </c>
      <c r="B120" s="40" t="s">
        <v>134</v>
      </c>
      <c r="C120" s="40" t="s">
        <v>136</v>
      </c>
      <c r="D120" s="40" t="s">
        <v>906</v>
      </c>
      <c r="E120" s="40" t="s">
        <v>150</v>
      </c>
      <c r="F120" s="6">
        <f>'Пр.4 ведом.20'!G19</f>
        <v>977</v>
      </c>
      <c r="G120" s="6">
        <f>'Пр.4 ведом.20'!H19</f>
        <v>190.7</v>
      </c>
      <c r="H120" s="6">
        <f t="shared" si="40"/>
        <v>19.518935516888433</v>
      </c>
    </row>
    <row r="121" spans="1:8" ht="15.75" x14ac:dyDescent="0.25">
      <c r="A121" s="29" t="s">
        <v>151</v>
      </c>
      <c r="B121" s="40" t="s">
        <v>134</v>
      </c>
      <c r="C121" s="40" t="s">
        <v>136</v>
      </c>
      <c r="D121" s="40" t="s">
        <v>906</v>
      </c>
      <c r="E121" s="40" t="s">
        <v>161</v>
      </c>
      <c r="F121" s="6">
        <f t="shared" ref="F121:G121" si="66">F122</f>
        <v>28</v>
      </c>
      <c r="G121" s="6">
        <f t="shared" si="66"/>
        <v>0</v>
      </c>
      <c r="H121" s="6">
        <f t="shared" si="40"/>
        <v>0</v>
      </c>
    </row>
    <row r="122" spans="1:8" ht="15.75" x14ac:dyDescent="0.25">
      <c r="A122" s="29" t="s">
        <v>584</v>
      </c>
      <c r="B122" s="40" t="s">
        <v>134</v>
      </c>
      <c r="C122" s="40" t="s">
        <v>136</v>
      </c>
      <c r="D122" s="40" t="s">
        <v>906</v>
      </c>
      <c r="E122" s="40" t="s">
        <v>154</v>
      </c>
      <c r="F122" s="6">
        <f>'Пр.4 ведом.20'!G21</f>
        <v>28</v>
      </c>
      <c r="G122" s="6">
        <f>'Пр.4 ведом.20'!H21</f>
        <v>0</v>
      </c>
      <c r="H122" s="6">
        <f t="shared" si="40"/>
        <v>0</v>
      </c>
    </row>
    <row r="123" spans="1:8" s="217" customFormat="1" ht="54" customHeight="1" x14ac:dyDescent="0.25">
      <c r="A123" s="25" t="s">
        <v>885</v>
      </c>
      <c r="B123" s="20" t="s">
        <v>134</v>
      </c>
      <c r="C123" s="20" t="s">
        <v>136</v>
      </c>
      <c r="D123" s="20" t="s">
        <v>908</v>
      </c>
      <c r="E123" s="20"/>
      <c r="F123" s="6">
        <f>F124</f>
        <v>335</v>
      </c>
      <c r="G123" s="6">
        <f t="shared" ref="G123:G124" si="67">G124</f>
        <v>136</v>
      </c>
      <c r="H123" s="6">
        <f t="shared" si="40"/>
        <v>40.597014925373131</v>
      </c>
    </row>
    <row r="124" spans="1:8" s="217" customFormat="1" ht="80.45" customHeight="1" x14ac:dyDescent="0.25">
      <c r="A124" s="25" t="s">
        <v>143</v>
      </c>
      <c r="B124" s="20" t="s">
        <v>134</v>
      </c>
      <c r="C124" s="20" t="s">
        <v>136</v>
      </c>
      <c r="D124" s="20" t="s">
        <v>908</v>
      </c>
      <c r="E124" s="20" t="s">
        <v>144</v>
      </c>
      <c r="F124" s="6">
        <f>F125</f>
        <v>335</v>
      </c>
      <c r="G124" s="6">
        <f t="shared" si="67"/>
        <v>136</v>
      </c>
      <c r="H124" s="6">
        <f t="shared" si="40"/>
        <v>40.597014925373131</v>
      </c>
    </row>
    <row r="125" spans="1:8" s="217" customFormat="1" ht="36" customHeight="1" x14ac:dyDescent="0.25">
      <c r="A125" s="25" t="s">
        <v>145</v>
      </c>
      <c r="B125" s="20" t="s">
        <v>134</v>
      </c>
      <c r="C125" s="20" t="s">
        <v>136</v>
      </c>
      <c r="D125" s="20" t="s">
        <v>908</v>
      </c>
      <c r="E125" s="20" t="s">
        <v>146</v>
      </c>
      <c r="F125" s="6">
        <f>'Пр.4 ведом.20'!G24+'Пр.4 ведом.20'!G95</f>
        <v>335</v>
      </c>
      <c r="G125" s="6">
        <f>'Пр.4 ведом.20'!H24+'Пр.4 ведом.20'!H95</f>
        <v>136</v>
      </c>
      <c r="H125" s="6">
        <f t="shared" si="40"/>
        <v>40.597014925373131</v>
      </c>
    </row>
    <row r="126" spans="1:8" s="217" customFormat="1" ht="20.25" customHeight="1" x14ac:dyDescent="0.25">
      <c r="A126" s="23" t="s">
        <v>1369</v>
      </c>
      <c r="B126" s="24" t="s">
        <v>134</v>
      </c>
      <c r="C126" s="24" t="s">
        <v>280</v>
      </c>
      <c r="D126" s="24"/>
      <c r="E126" s="20"/>
      <c r="F126" s="21">
        <f>F127</f>
        <v>158.38</v>
      </c>
      <c r="G126" s="339">
        <f t="shared" ref="G126:G128" si="68">G127</f>
        <v>0</v>
      </c>
      <c r="H126" s="4">
        <f t="shared" si="40"/>
        <v>0</v>
      </c>
    </row>
    <row r="127" spans="1:8" s="217" customFormat="1" ht="23.25" customHeight="1" x14ac:dyDescent="0.25">
      <c r="A127" s="23" t="s">
        <v>157</v>
      </c>
      <c r="B127" s="24" t="s">
        <v>134</v>
      </c>
      <c r="C127" s="24" t="s">
        <v>280</v>
      </c>
      <c r="D127" s="24" t="s">
        <v>912</v>
      </c>
      <c r="E127" s="20"/>
      <c r="F127" s="21">
        <f>F128</f>
        <v>158.38</v>
      </c>
      <c r="G127" s="339">
        <f t="shared" si="68"/>
        <v>0</v>
      </c>
      <c r="H127" s="4">
        <f t="shared" si="40"/>
        <v>0</v>
      </c>
    </row>
    <row r="128" spans="1:8" s="217" customFormat="1" ht="36" customHeight="1" x14ac:dyDescent="0.25">
      <c r="A128" s="23" t="s">
        <v>916</v>
      </c>
      <c r="B128" s="24" t="s">
        <v>134</v>
      </c>
      <c r="C128" s="24" t="s">
        <v>280</v>
      </c>
      <c r="D128" s="24" t="s">
        <v>911</v>
      </c>
      <c r="E128" s="20"/>
      <c r="F128" s="21">
        <f>F129</f>
        <v>158.38</v>
      </c>
      <c r="G128" s="339">
        <f t="shared" si="68"/>
        <v>0</v>
      </c>
      <c r="H128" s="4">
        <f t="shared" si="40"/>
        <v>0</v>
      </c>
    </row>
    <row r="129" spans="1:10" s="217" customFormat="1" ht="24" customHeight="1" x14ac:dyDescent="0.25">
      <c r="A129" s="45" t="s">
        <v>215</v>
      </c>
      <c r="B129" s="20" t="s">
        <v>134</v>
      </c>
      <c r="C129" s="20" t="s">
        <v>280</v>
      </c>
      <c r="D129" s="20" t="s">
        <v>1368</v>
      </c>
      <c r="E129" s="20"/>
      <c r="F129" s="26">
        <f>F130+F132</f>
        <v>158.38</v>
      </c>
      <c r="G129" s="343">
        <f t="shared" ref="G129" si="69">G130+G132</f>
        <v>0</v>
      </c>
      <c r="H129" s="6">
        <f t="shared" si="40"/>
        <v>0</v>
      </c>
    </row>
    <row r="130" spans="1:10" s="217" customFormat="1" ht="78.75" customHeight="1" x14ac:dyDescent="0.25">
      <c r="A130" s="25" t="s">
        <v>143</v>
      </c>
      <c r="B130" s="20" t="s">
        <v>134</v>
      </c>
      <c r="C130" s="20" t="s">
        <v>280</v>
      </c>
      <c r="D130" s="20" t="s">
        <v>1368</v>
      </c>
      <c r="E130" s="20" t="s">
        <v>144</v>
      </c>
      <c r="F130" s="26">
        <f>F131</f>
        <v>158.38</v>
      </c>
      <c r="G130" s="343">
        <f t="shared" ref="G130" si="70">G131</f>
        <v>0</v>
      </c>
      <c r="H130" s="6">
        <f t="shared" si="40"/>
        <v>0</v>
      </c>
    </row>
    <row r="131" spans="1:10" s="217" customFormat="1" ht="36" customHeight="1" x14ac:dyDescent="0.25">
      <c r="A131" s="25" t="s">
        <v>145</v>
      </c>
      <c r="B131" s="20" t="s">
        <v>134</v>
      </c>
      <c r="C131" s="20" t="s">
        <v>280</v>
      </c>
      <c r="D131" s="20" t="s">
        <v>1368</v>
      </c>
      <c r="E131" s="20" t="s">
        <v>146</v>
      </c>
      <c r="F131" s="26">
        <f>'Пр.4 ведом.20'!G101</f>
        <v>158.38</v>
      </c>
      <c r="G131" s="343">
        <f>'Пр.4 ведом.20'!H101</f>
        <v>0</v>
      </c>
      <c r="H131" s="6">
        <f t="shared" si="40"/>
        <v>0</v>
      </c>
    </row>
    <row r="132" spans="1:10" s="217" customFormat="1" ht="36" hidden="1" customHeight="1" x14ac:dyDescent="0.25">
      <c r="A132" s="25" t="s">
        <v>214</v>
      </c>
      <c r="B132" s="20" t="s">
        <v>134</v>
      </c>
      <c r="C132" s="20" t="s">
        <v>280</v>
      </c>
      <c r="D132" s="20" t="s">
        <v>1368</v>
      </c>
      <c r="E132" s="20" t="s">
        <v>148</v>
      </c>
      <c r="F132" s="26">
        <f>F133</f>
        <v>0</v>
      </c>
      <c r="G132" s="343">
        <f t="shared" ref="G132" si="71">G133</f>
        <v>0</v>
      </c>
      <c r="H132" s="6" t="e">
        <f t="shared" si="40"/>
        <v>#DIV/0!</v>
      </c>
    </row>
    <row r="133" spans="1:10" s="217" customFormat="1" ht="36" hidden="1" customHeight="1" x14ac:dyDescent="0.25">
      <c r="A133" s="25" t="s">
        <v>149</v>
      </c>
      <c r="B133" s="20" t="s">
        <v>134</v>
      </c>
      <c r="C133" s="20" t="s">
        <v>280</v>
      </c>
      <c r="D133" s="20" t="s">
        <v>1368</v>
      </c>
      <c r="E133" s="20" t="s">
        <v>150</v>
      </c>
      <c r="F133" s="26">
        <f>'Пр.4 ведом.20'!G103</f>
        <v>0</v>
      </c>
      <c r="G133" s="343">
        <f>'Пр.4 ведом.20'!H103</f>
        <v>0</v>
      </c>
      <c r="H133" s="6" t="e">
        <f t="shared" si="40"/>
        <v>#DIV/0!</v>
      </c>
    </row>
    <row r="134" spans="1:10" ht="15.75" x14ac:dyDescent="0.25">
      <c r="A134" s="41" t="s">
        <v>155</v>
      </c>
      <c r="B134" s="7" t="s">
        <v>134</v>
      </c>
      <c r="C134" s="7" t="s">
        <v>156</v>
      </c>
      <c r="D134" s="7"/>
      <c r="E134" s="7"/>
      <c r="F134" s="4">
        <f>F135+F166+F175+F198+F207+F212+F217</f>
        <v>50883.819999999992</v>
      </c>
      <c r="G134" s="4">
        <f t="shared" ref="G134" si="72">G135+G166+G175+G198+G207+G212+G217</f>
        <v>25215.69</v>
      </c>
      <c r="H134" s="4">
        <f t="shared" si="40"/>
        <v>49.555418598682259</v>
      </c>
      <c r="J134" s="22"/>
    </row>
    <row r="135" spans="1:10" s="217" customFormat="1" ht="15.75" x14ac:dyDescent="0.25">
      <c r="A135" s="23" t="s">
        <v>157</v>
      </c>
      <c r="B135" s="24" t="s">
        <v>134</v>
      </c>
      <c r="C135" s="24" t="s">
        <v>156</v>
      </c>
      <c r="D135" s="24" t="s">
        <v>912</v>
      </c>
      <c r="E135" s="24"/>
      <c r="F135" s="4">
        <f>F136+F147+F157</f>
        <v>50122.299999999996</v>
      </c>
      <c r="G135" s="4">
        <f t="shared" ref="G135" si="73">G136+G147+G157</f>
        <v>24999.19</v>
      </c>
      <c r="H135" s="4">
        <f t="shared" si="40"/>
        <v>49.876382368726098</v>
      </c>
      <c r="J135" s="22"/>
    </row>
    <row r="136" spans="1:10" s="217" customFormat="1" ht="15.75" x14ac:dyDescent="0.25">
      <c r="A136" s="23" t="s">
        <v>1090</v>
      </c>
      <c r="B136" s="24" t="s">
        <v>134</v>
      </c>
      <c r="C136" s="24" t="s">
        <v>156</v>
      </c>
      <c r="D136" s="24" t="s">
        <v>1089</v>
      </c>
      <c r="E136" s="24"/>
      <c r="F136" s="310">
        <f>F140+F137</f>
        <v>38291.599999999999</v>
      </c>
      <c r="G136" s="310">
        <f t="shared" ref="G136" si="74">G140+G137</f>
        <v>19224.79</v>
      </c>
      <c r="H136" s="4">
        <f t="shared" si="40"/>
        <v>50.20628545163953</v>
      </c>
      <c r="J136" s="22"/>
    </row>
    <row r="137" spans="1:10" s="217" customFormat="1" ht="47.25" x14ac:dyDescent="0.25">
      <c r="A137" s="25" t="s">
        <v>885</v>
      </c>
      <c r="B137" s="20" t="s">
        <v>134</v>
      </c>
      <c r="C137" s="20" t="s">
        <v>156</v>
      </c>
      <c r="D137" s="20" t="s">
        <v>1092</v>
      </c>
      <c r="E137" s="20"/>
      <c r="F137" s="6">
        <f>F138</f>
        <v>1072</v>
      </c>
      <c r="G137" s="6">
        <f t="shared" ref="G137:G138" si="75">G138</f>
        <v>972.5</v>
      </c>
      <c r="H137" s="6">
        <f t="shared" si="40"/>
        <v>90.718283582089555</v>
      </c>
      <c r="J137" s="22"/>
    </row>
    <row r="138" spans="1:10" s="217" customFormat="1" ht="78.75" x14ac:dyDescent="0.25">
      <c r="A138" s="25" t="s">
        <v>143</v>
      </c>
      <c r="B138" s="20" t="s">
        <v>134</v>
      </c>
      <c r="C138" s="20" t="s">
        <v>156</v>
      </c>
      <c r="D138" s="20" t="s">
        <v>1092</v>
      </c>
      <c r="E138" s="20" t="s">
        <v>144</v>
      </c>
      <c r="F138" s="6">
        <f>F139</f>
        <v>1072</v>
      </c>
      <c r="G138" s="6">
        <f t="shared" si="75"/>
        <v>972.5</v>
      </c>
      <c r="H138" s="6">
        <f t="shared" si="40"/>
        <v>90.718283582089555</v>
      </c>
      <c r="J138" s="22"/>
    </row>
    <row r="139" spans="1:10" s="217" customFormat="1" ht="31.5" x14ac:dyDescent="0.25">
      <c r="A139" s="25" t="s">
        <v>145</v>
      </c>
      <c r="B139" s="20" t="s">
        <v>134</v>
      </c>
      <c r="C139" s="20" t="s">
        <v>156</v>
      </c>
      <c r="D139" s="20" t="s">
        <v>1092</v>
      </c>
      <c r="E139" s="20" t="s">
        <v>225</v>
      </c>
      <c r="F139" s="6">
        <f>'Пр.4 ведом.20'!G891</f>
        <v>1072</v>
      </c>
      <c r="G139" s="6">
        <f>'Пр.4 ведом.20'!H891</f>
        <v>972.5</v>
      </c>
      <c r="H139" s="6">
        <f t="shared" ref="H139:H202" si="76">G139/F139*100</f>
        <v>90.718283582089555</v>
      </c>
      <c r="J139" s="22"/>
    </row>
    <row r="140" spans="1:10" s="217" customFormat="1" ht="15.75" x14ac:dyDescent="0.25">
      <c r="A140" s="25" t="s">
        <v>834</v>
      </c>
      <c r="B140" s="20" t="s">
        <v>134</v>
      </c>
      <c r="C140" s="20" t="s">
        <v>156</v>
      </c>
      <c r="D140" s="20" t="s">
        <v>1091</v>
      </c>
      <c r="E140" s="20"/>
      <c r="F140" s="308">
        <f t="shared" ref="F140:G140" si="77">F141+F143+F145</f>
        <v>37219.599999999999</v>
      </c>
      <c r="G140" s="308">
        <f t="shared" si="77"/>
        <v>18252.29</v>
      </c>
      <c r="H140" s="6">
        <f t="shared" si="76"/>
        <v>49.039457705080125</v>
      </c>
      <c r="J140" s="22"/>
    </row>
    <row r="141" spans="1:10" s="217" customFormat="1" ht="78.75" x14ac:dyDescent="0.25">
      <c r="A141" s="25" t="s">
        <v>143</v>
      </c>
      <c r="B141" s="20" t="s">
        <v>134</v>
      </c>
      <c r="C141" s="20" t="s">
        <v>156</v>
      </c>
      <c r="D141" s="20" t="s">
        <v>1091</v>
      </c>
      <c r="E141" s="20" t="s">
        <v>144</v>
      </c>
      <c r="F141" s="308">
        <f t="shared" ref="F141:G141" si="78">F142</f>
        <v>30152.400000000001</v>
      </c>
      <c r="G141" s="308">
        <f t="shared" si="78"/>
        <v>15503.36</v>
      </c>
      <c r="H141" s="6">
        <f t="shared" si="76"/>
        <v>51.416669983152254</v>
      </c>
      <c r="J141" s="22"/>
    </row>
    <row r="142" spans="1:10" s="217" customFormat="1" ht="31.5" x14ac:dyDescent="0.25">
      <c r="A142" s="46" t="s">
        <v>358</v>
      </c>
      <c r="B142" s="20" t="s">
        <v>134</v>
      </c>
      <c r="C142" s="20" t="s">
        <v>156</v>
      </c>
      <c r="D142" s="20" t="s">
        <v>1091</v>
      </c>
      <c r="E142" s="20" t="s">
        <v>225</v>
      </c>
      <c r="F142" s="308">
        <f>'Пр.4 ведом.20'!G894</f>
        <v>30152.400000000001</v>
      </c>
      <c r="G142" s="308">
        <f>'Пр.4 ведом.20'!H894</f>
        <v>15503.36</v>
      </c>
      <c r="H142" s="6">
        <f t="shared" si="76"/>
        <v>51.416669983152254</v>
      </c>
      <c r="J142" s="22"/>
    </row>
    <row r="143" spans="1:10" s="217" customFormat="1" ht="31.5" x14ac:dyDescent="0.25">
      <c r="A143" s="25" t="s">
        <v>147</v>
      </c>
      <c r="B143" s="20" t="s">
        <v>134</v>
      </c>
      <c r="C143" s="20" t="s">
        <v>156</v>
      </c>
      <c r="D143" s="20" t="s">
        <v>1091</v>
      </c>
      <c r="E143" s="20" t="s">
        <v>148</v>
      </c>
      <c r="F143" s="308">
        <f t="shared" ref="F143:G143" si="79">F144</f>
        <v>6566.2</v>
      </c>
      <c r="G143" s="308">
        <f t="shared" si="79"/>
        <v>2360.06</v>
      </c>
      <c r="H143" s="6">
        <f t="shared" si="76"/>
        <v>35.942554293198505</v>
      </c>
      <c r="J143" s="22"/>
    </row>
    <row r="144" spans="1:10" s="217" customFormat="1" ht="31.5" x14ac:dyDescent="0.25">
      <c r="A144" s="25" t="s">
        <v>149</v>
      </c>
      <c r="B144" s="20" t="s">
        <v>134</v>
      </c>
      <c r="C144" s="20" t="s">
        <v>156</v>
      </c>
      <c r="D144" s="20" t="s">
        <v>1091</v>
      </c>
      <c r="E144" s="20" t="s">
        <v>150</v>
      </c>
      <c r="F144" s="308">
        <f>'Пр.4 ведом.20'!G896</f>
        <v>6566.2</v>
      </c>
      <c r="G144" s="308">
        <f>'Пр.4 ведом.20'!H896</f>
        <v>2360.06</v>
      </c>
      <c r="H144" s="6">
        <f t="shared" si="76"/>
        <v>35.942554293198505</v>
      </c>
      <c r="J144" s="22"/>
    </row>
    <row r="145" spans="1:10" s="217" customFormat="1" ht="15.75" x14ac:dyDescent="0.25">
      <c r="A145" s="25" t="s">
        <v>151</v>
      </c>
      <c r="B145" s="20" t="s">
        <v>134</v>
      </c>
      <c r="C145" s="20" t="s">
        <v>156</v>
      </c>
      <c r="D145" s="20" t="s">
        <v>1091</v>
      </c>
      <c r="E145" s="20" t="s">
        <v>161</v>
      </c>
      <c r="F145" s="308">
        <f t="shared" ref="F145:G145" si="80">F146</f>
        <v>501</v>
      </c>
      <c r="G145" s="308">
        <f t="shared" si="80"/>
        <v>388.87</v>
      </c>
      <c r="H145" s="6">
        <f t="shared" si="76"/>
        <v>77.618762475049891</v>
      </c>
      <c r="J145" s="22"/>
    </row>
    <row r="146" spans="1:10" s="217" customFormat="1" ht="15.75" x14ac:dyDescent="0.25">
      <c r="A146" s="25" t="s">
        <v>727</v>
      </c>
      <c r="B146" s="20" t="s">
        <v>134</v>
      </c>
      <c r="C146" s="20" t="s">
        <v>156</v>
      </c>
      <c r="D146" s="20" t="s">
        <v>1091</v>
      </c>
      <c r="E146" s="20" t="s">
        <v>154</v>
      </c>
      <c r="F146" s="308">
        <f>'Пр.4 ведом.20'!G898</f>
        <v>501</v>
      </c>
      <c r="G146" s="308">
        <f>'Пр.4 ведом.20'!H898</f>
        <v>388.87</v>
      </c>
      <c r="H146" s="6">
        <f t="shared" si="76"/>
        <v>77.618762475049891</v>
      </c>
      <c r="J146" s="22"/>
    </row>
    <row r="147" spans="1:10" s="217" customFormat="1" ht="31.5" x14ac:dyDescent="0.25">
      <c r="A147" s="23" t="s">
        <v>916</v>
      </c>
      <c r="B147" s="24" t="s">
        <v>134</v>
      </c>
      <c r="C147" s="24" t="s">
        <v>156</v>
      </c>
      <c r="D147" s="24" t="s">
        <v>911</v>
      </c>
      <c r="E147" s="24"/>
      <c r="F147" s="4">
        <f>F148+F151+F154</f>
        <v>5676.2999999999993</v>
      </c>
      <c r="G147" s="4">
        <f t="shared" ref="G147" si="81">G148+G151+G154</f>
        <v>2874.1</v>
      </c>
      <c r="H147" s="4">
        <f t="shared" si="76"/>
        <v>50.633335095044309</v>
      </c>
      <c r="J147" s="22"/>
    </row>
    <row r="148" spans="1:10" s="217" customFormat="1" ht="47.25" x14ac:dyDescent="0.25">
      <c r="A148" s="25" t="s">
        <v>404</v>
      </c>
      <c r="B148" s="20" t="s">
        <v>134</v>
      </c>
      <c r="C148" s="20" t="s">
        <v>156</v>
      </c>
      <c r="D148" s="20" t="s">
        <v>1169</v>
      </c>
      <c r="E148" s="20"/>
      <c r="F148" s="6">
        <f>F149</f>
        <v>5499.2999999999993</v>
      </c>
      <c r="G148" s="6">
        <f t="shared" ref="G148:G149" si="82">G149</f>
        <v>2715</v>
      </c>
      <c r="H148" s="6">
        <f t="shared" si="76"/>
        <v>49.369919807975563</v>
      </c>
      <c r="J148" s="22"/>
    </row>
    <row r="149" spans="1:10" s="217" customFormat="1" ht="31.5" x14ac:dyDescent="0.25">
      <c r="A149" s="25" t="s">
        <v>147</v>
      </c>
      <c r="B149" s="20" t="s">
        <v>134</v>
      </c>
      <c r="C149" s="20" t="s">
        <v>156</v>
      </c>
      <c r="D149" s="20" t="s">
        <v>1169</v>
      </c>
      <c r="E149" s="20" t="s">
        <v>148</v>
      </c>
      <c r="F149" s="6">
        <f>F150</f>
        <v>5499.2999999999993</v>
      </c>
      <c r="G149" s="6">
        <f t="shared" si="82"/>
        <v>2715</v>
      </c>
      <c r="H149" s="6">
        <f t="shared" si="76"/>
        <v>49.369919807975563</v>
      </c>
      <c r="J149" s="22"/>
    </row>
    <row r="150" spans="1:10" s="217" customFormat="1" ht="31.5" x14ac:dyDescent="0.25">
      <c r="A150" s="25" t="s">
        <v>149</v>
      </c>
      <c r="B150" s="20" t="s">
        <v>134</v>
      </c>
      <c r="C150" s="20" t="s">
        <v>156</v>
      </c>
      <c r="D150" s="20" t="s">
        <v>1169</v>
      </c>
      <c r="E150" s="20" t="s">
        <v>150</v>
      </c>
      <c r="F150" s="6">
        <f>'Пр.4 ведом.20'!G516</f>
        <v>5499.2999999999993</v>
      </c>
      <c r="G150" s="6">
        <f>'Пр.4 ведом.20'!H516</f>
        <v>2715</v>
      </c>
      <c r="H150" s="6">
        <f t="shared" si="76"/>
        <v>49.369919807975563</v>
      </c>
      <c r="J150" s="22"/>
    </row>
    <row r="151" spans="1:10" s="217" customFormat="1" ht="31.5" hidden="1" x14ac:dyDescent="0.25">
      <c r="A151" s="25" t="s">
        <v>1004</v>
      </c>
      <c r="B151" s="20" t="s">
        <v>134</v>
      </c>
      <c r="C151" s="20" t="s">
        <v>156</v>
      </c>
      <c r="D151" s="20" t="s">
        <v>1170</v>
      </c>
      <c r="E151" s="20"/>
      <c r="F151" s="6">
        <f>F152</f>
        <v>0</v>
      </c>
      <c r="G151" s="6">
        <f t="shared" ref="G151:G152" si="83">G152</f>
        <v>0</v>
      </c>
      <c r="H151" s="6" t="e">
        <f t="shared" si="76"/>
        <v>#DIV/0!</v>
      </c>
      <c r="J151" s="22"/>
    </row>
    <row r="152" spans="1:10" s="217" customFormat="1" ht="31.5" hidden="1" x14ac:dyDescent="0.25">
      <c r="A152" s="25" t="s">
        <v>147</v>
      </c>
      <c r="B152" s="20" t="s">
        <v>134</v>
      </c>
      <c r="C152" s="20" t="s">
        <v>156</v>
      </c>
      <c r="D152" s="20" t="s">
        <v>1170</v>
      </c>
      <c r="E152" s="20" t="s">
        <v>148</v>
      </c>
      <c r="F152" s="6">
        <f>F153</f>
        <v>0</v>
      </c>
      <c r="G152" s="6">
        <f t="shared" si="83"/>
        <v>0</v>
      </c>
      <c r="H152" s="6" t="e">
        <f t="shared" si="76"/>
        <v>#DIV/0!</v>
      </c>
      <c r="J152" s="22"/>
    </row>
    <row r="153" spans="1:10" s="217" customFormat="1" ht="31.5" hidden="1" x14ac:dyDescent="0.25">
      <c r="A153" s="25" t="s">
        <v>149</v>
      </c>
      <c r="B153" s="20" t="s">
        <v>134</v>
      </c>
      <c r="C153" s="20" t="s">
        <v>156</v>
      </c>
      <c r="D153" s="20" t="s">
        <v>1170</v>
      </c>
      <c r="E153" s="20" t="s">
        <v>150</v>
      </c>
      <c r="F153" s="6">
        <f>'Пр.4 ведом.20'!G519</f>
        <v>0</v>
      </c>
      <c r="G153" s="6">
        <f>'Пр.4 ведом.20'!H519</f>
        <v>0</v>
      </c>
      <c r="H153" s="6" t="e">
        <f t="shared" si="76"/>
        <v>#DIV/0!</v>
      </c>
      <c r="J153" s="22"/>
    </row>
    <row r="154" spans="1:10" s="331" customFormat="1" ht="47.25" x14ac:dyDescent="0.25">
      <c r="A154" s="342" t="s">
        <v>1525</v>
      </c>
      <c r="B154" s="338" t="s">
        <v>134</v>
      </c>
      <c r="C154" s="338" t="s">
        <v>156</v>
      </c>
      <c r="D154" s="338" t="s">
        <v>1526</v>
      </c>
      <c r="E154" s="338"/>
      <c r="F154" s="6">
        <f>F155</f>
        <v>177</v>
      </c>
      <c r="G154" s="6">
        <f t="shared" ref="G154:G155" si="84">G155</f>
        <v>159.1</v>
      </c>
      <c r="H154" s="6">
        <f t="shared" si="76"/>
        <v>89.887005649717509</v>
      </c>
      <c r="J154" s="22"/>
    </row>
    <row r="155" spans="1:10" s="331" customFormat="1" ht="78.75" x14ac:dyDescent="0.25">
      <c r="A155" s="342" t="s">
        <v>143</v>
      </c>
      <c r="B155" s="338" t="s">
        <v>134</v>
      </c>
      <c r="C155" s="338" t="s">
        <v>156</v>
      </c>
      <c r="D155" s="338" t="s">
        <v>1526</v>
      </c>
      <c r="E155" s="338" t="s">
        <v>144</v>
      </c>
      <c r="F155" s="6">
        <f>F156</f>
        <v>177</v>
      </c>
      <c r="G155" s="6">
        <f t="shared" si="84"/>
        <v>159.1</v>
      </c>
      <c r="H155" s="6">
        <f t="shared" si="76"/>
        <v>89.887005649717509</v>
      </c>
      <c r="J155" s="22"/>
    </row>
    <row r="156" spans="1:10" s="331" customFormat="1" ht="31.5" x14ac:dyDescent="0.25">
      <c r="A156" s="46" t="s">
        <v>358</v>
      </c>
      <c r="B156" s="338" t="s">
        <v>134</v>
      </c>
      <c r="C156" s="338" t="s">
        <v>156</v>
      </c>
      <c r="D156" s="338" t="s">
        <v>1526</v>
      </c>
      <c r="E156" s="338" t="s">
        <v>225</v>
      </c>
      <c r="F156" s="6">
        <f>'Пр.4 ведом.20'!G903</f>
        <v>177</v>
      </c>
      <c r="G156" s="6">
        <f>'Пр.4 ведом.20'!H903</f>
        <v>159.1</v>
      </c>
      <c r="H156" s="6">
        <f t="shared" si="76"/>
        <v>89.887005649717509</v>
      </c>
      <c r="J156" s="22"/>
    </row>
    <row r="157" spans="1:10" s="217" customFormat="1" ht="31.5" x14ac:dyDescent="0.25">
      <c r="A157" s="23" t="s">
        <v>995</v>
      </c>
      <c r="B157" s="24" t="s">
        <v>134</v>
      </c>
      <c r="C157" s="24" t="s">
        <v>156</v>
      </c>
      <c r="D157" s="24" t="s">
        <v>913</v>
      </c>
      <c r="E157" s="24"/>
      <c r="F157" s="4">
        <f>F158+F163</f>
        <v>6154.4000000000005</v>
      </c>
      <c r="G157" s="4">
        <f t="shared" ref="G157" si="85">G158+G163</f>
        <v>2900.3</v>
      </c>
      <c r="H157" s="4">
        <f t="shared" si="76"/>
        <v>47.125633692967632</v>
      </c>
      <c r="J157" s="22"/>
    </row>
    <row r="158" spans="1:10" s="217" customFormat="1" ht="31.5" x14ac:dyDescent="0.25">
      <c r="A158" s="25" t="s">
        <v>1001</v>
      </c>
      <c r="B158" s="20" t="s">
        <v>134</v>
      </c>
      <c r="C158" s="20" t="s">
        <v>156</v>
      </c>
      <c r="D158" s="20" t="s">
        <v>914</v>
      </c>
      <c r="E158" s="20"/>
      <c r="F158" s="6">
        <f>F159+F161</f>
        <v>6028.4000000000005</v>
      </c>
      <c r="G158" s="6">
        <f t="shared" ref="G158" si="86">G159+G161</f>
        <v>2900.3</v>
      </c>
      <c r="H158" s="6">
        <f t="shared" si="76"/>
        <v>48.110609780372897</v>
      </c>
      <c r="J158" s="22"/>
    </row>
    <row r="159" spans="1:10" s="217" customFormat="1" ht="78.75" x14ac:dyDescent="0.25">
      <c r="A159" s="25" t="s">
        <v>143</v>
      </c>
      <c r="B159" s="20" t="s">
        <v>134</v>
      </c>
      <c r="C159" s="20" t="s">
        <v>156</v>
      </c>
      <c r="D159" s="20" t="s">
        <v>914</v>
      </c>
      <c r="E159" s="20" t="s">
        <v>144</v>
      </c>
      <c r="F159" s="6">
        <f>F160</f>
        <v>4817.4000000000005</v>
      </c>
      <c r="G159" s="6">
        <f t="shared" ref="G159" si="87">G160</f>
        <v>2198.9</v>
      </c>
      <c r="H159" s="6">
        <f t="shared" si="76"/>
        <v>45.644953709469839</v>
      </c>
      <c r="J159" s="22"/>
    </row>
    <row r="160" spans="1:10" s="217" customFormat="1" ht="15.75" x14ac:dyDescent="0.25">
      <c r="A160" s="25" t="s">
        <v>224</v>
      </c>
      <c r="B160" s="20" t="s">
        <v>134</v>
      </c>
      <c r="C160" s="20" t="s">
        <v>156</v>
      </c>
      <c r="D160" s="20" t="s">
        <v>914</v>
      </c>
      <c r="E160" s="20" t="s">
        <v>225</v>
      </c>
      <c r="F160" s="6">
        <f>'Пр.4 ведом.20'!G109</f>
        <v>4817.4000000000005</v>
      </c>
      <c r="G160" s="6">
        <f>'Пр.4 ведом.20'!H109</f>
        <v>2198.9</v>
      </c>
      <c r="H160" s="6">
        <f t="shared" si="76"/>
        <v>45.644953709469839</v>
      </c>
      <c r="J160" s="22"/>
    </row>
    <row r="161" spans="1:10" s="217" customFormat="1" ht="31.5" x14ac:dyDescent="0.25">
      <c r="A161" s="25" t="s">
        <v>214</v>
      </c>
      <c r="B161" s="20" t="s">
        <v>134</v>
      </c>
      <c r="C161" s="20" t="s">
        <v>156</v>
      </c>
      <c r="D161" s="20" t="s">
        <v>914</v>
      </c>
      <c r="E161" s="20" t="s">
        <v>148</v>
      </c>
      <c r="F161" s="6">
        <f>F162</f>
        <v>1211</v>
      </c>
      <c r="G161" s="6">
        <f t="shared" ref="G161" si="88">G162</f>
        <v>701.4</v>
      </c>
      <c r="H161" s="6">
        <f t="shared" si="76"/>
        <v>57.919075144508668</v>
      </c>
      <c r="J161" s="22"/>
    </row>
    <row r="162" spans="1:10" s="217" customFormat="1" ht="31.5" x14ac:dyDescent="0.25">
      <c r="A162" s="25" t="s">
        <v>149</v>
      </c>
      <c r="B162" s="20" t="s">
        <v>134</v>
      </c>
      <c r="C162" s="20" t="s">
        <v>156</v>
      </c>
      <c r="D162" s="20" t="s">
        <v>914</v>
      </c>
      <c r="E162" s="20" t="s">
        <v>150</v>
      </c>
      <c r="F162" s="6">
        <f>'Пр.4 ведом.20'!G111</f>
        <v>1211</v>
      </c>
      <c r="G162" s="6">
        <f>'Пр.4 ведом.20'!H111</f>
        <v>701.4</v>
      </c>
      <c r="H162" s="6">
        <f t="shared" si="76"/>
        <v>57.919075144508668</v>
      </c>
      <c r="J162" s="22"/>
    </row>
    <row r="163" spans="1:10" s="217" customFormat="1" ht="47.25" x14ac:dyDescent="0.25">
      <c r="A163" s="25" t="s">
        <v>885</v>
      </c>
      <c r="B163" s="20" t="s">
        <v>134</v>
      </c>
      <c r="C163" s="20" t="s">
        <v>156</v>
      </c>
      <c r="D163" s="20" t="s">
        <v>915</v>
      </c>
      <c r="E163" s="20"/>
      <c r="F163" s="6">
        <f>F164</f>
        <v>126</v>
      </c>
      <c r="G163" s="6">
        <f t="shared" ref="G163:G164" si="89">G164</f>
        <v>0</v>
      </c>
      <c r="H163" s="6">
        <f t="shared" si="76"/>
        <v>0</v>
      </c>
      <c r="J163" s="22"/>
    </row>
    <row r="164" spans="1:10" s="217" customFormat="1" ht="78.75" x14ac:dyDescent="0.25">
      <c r="A164" s="25" t="s">
        <v>143</v>
      </c>
      <c r="B164" s="20" t="s">
        <v>134</v>
      </c>
      <c r="C164" s="20" t="s">
        <v>156</v>
      </c>
      <c r="D164" s="20" t="s">
        <v>915</v>
      </c>
      <c r="E164" s="20" t="s">
        <v>144</v>
      </c>
      <c r="F164" s="6">
        <f>F165</f>
        <v>126</v>
      </c>
      <c r="G164" s="6">
        <f t="shared" si="89"/>
        <v>0</v>
      </c>
      <c r="H164" s="6">
        <f t="shared" si="76"/>
        <v>0</v>
      </c>
      <c r="J164" s="22"/>
    </row>
    <row r="165" spans="1:10" s="217" customFormat="1" ht="31.5" x14ac:dyDescent="0.25">
      <c r="A165" s="25" t="s">
        <v>145</v>
      </c>
      <c r="B165" s="20" t="s">
        <v>134</v>
      </c>
      <c r="C165" s="20" t="s">
        <v>156</v>
      </c>
      <c r="D165" s="20" t="s">
        <v>915</v>
      </c>
      <c r="E165" s="20" t="s">
        <v>146</v>
      </c>
      <c r="F165" s="6">
        <f>'Пр.4 ведом.20'!G114</f>
        <v>126</v>
      </c>
      <c r="G165" s="6">
        <f>'Пр.4 ведом.20'!H114</f>
        <v>0</v>
      </c>
      <c r="H165" s="6">
        <f t="shared" si="76"/>
        <v>0</v>
      </c>
      <c r="J165" s="22"/>
    </row>
    <row r="166" spans="1:10" ht="47.25" x14ac:dyDescent="0.25">
      <c r="A166" s="23" t="s">
        <v>359</v>
      </c>
      <c r="B166" s="7" t="s">
        <v>134</v>
      </c>
      <c r="C166" s="7" t="s">
        <v>156</v>
      </c>
      <c r="D166" s="7" t="s">
        <v>360</v>
      </c>
      <c r="E166" s="7"/>
      <c r="F166" s="4">
        <f>F167</f>
        <v>188.7</v>
      </c>
      <c r="G166" s="4">
        <f t="shared" ref="G166:G167" si="90">G167</f>
        <v>131.5</v>
      </c>
      <c r="H166" s="4">
        <f t="shared" si="76"/>
        <v>69.687334393216744</v>
      </c>
    </row>
    <row r="167" spans="1:10" ht="94.5" x14ac:dyDescent="0.25">
      <c r="A167" s="41" t="s">
        <v>396</v>
      </c>
      <c r="B167" s="7" t="s">
        <v>134</v>
      </c>
      <c r="C167" s="7" t="s">
        <v>156</v>
      </c>
      <c r="D167" s="7" t="s">
        <v>397</v>
      </c>
      <c r="E167" s="7"/>
      <c r="F167" s="4">
        <f>F168</f>
        <v>188.7</v>
      </c>
      <c r="G167" s="4">
        <f t="shared" si="90"/>
        <v>131.5</v>
      </c>
      <c r="H167" s="4">
        <f t="shared" si="76"/>
        <v>69.687334393216744</v>
      </c>
    </row>
    <row r="168" spans="1:10" s="217" customFormat="1" ht="63" x14ac:dyDescent="0.25">
      <c r="A168" s="268" t="s">
        <v>1219</v>
      </c>
      <c r="B168" s="7" t="s">
        <v>134</v>
      </c>
      <c r="C168" s="7" t="s">
        <v>156</v>
      </c>
      <c r="D168" s="7" t="s">
        <v>933</v>
      </c>
      <c r="E168" s="7"/>
      <c r="F168" s="4">
        <f>F169+F172</f>
        <v>188.7</v>
      </c>
      <c r="G168" s="4">
        <f t="shared" ref="G168" si="91">G169+G172</f>
        <v>131.5</v>
      </c>
      <c r="H168" s="4">
        <f t="shared" si="76"/>
        <v>69.687334393216744</v>
      </c>
    </row>
    <row r="169" spans="1:10" ht="31.5" x14ac:dyDescent="0.25">
      <c r="A169" s="99" t="s">
        <v>1220</v>
      </c>
      <c r="B169" s="40" t="s">
        <v>134</v>
      </c>
      <c r="C169" s="40" t="s">
        <v>156</v>
      </c>
      <c r="D169" s="40" t="s">
        <v>934</v>
      </c>
      <c r="E169" s="40"/>
      <c r="F169" s="6">
        <f t="shared" ref="F169:G170" si="92">F170</f>
        <v>188.7</v>
      </c>
      <c r="G169" s="6">
        <f t="shared" si="92"/>
        <v>131.5</v>
      </c>
      <c r="H169" s="6">
        <f t="shared" si="76"/>
        <v>69.687334393216744</v>
      </c>
    </row>
    <row r="170" spans="1:10" ht="31.5" x14ac:dyDescent="0.25">
      <c r="A170" s="29" t="s">
        <v>147</v>
      </c>
      <c r="B170" s="40" t="s">
        <v>134</v>
      </c>
      <c r="C170" s="40" t="s">
        <v>156</v>
      </c>
      <c r="D170" s="40" t="s">
        <v>934</v>
      </c>
      <c r="E170" s="40" t="s">
        <v>148</v>
      </c>
      <c r="F170" s="6">
        <f t="shared" si="92"/>
        <v>188.7</v>
      </c>
      <c r="G170" s="6">
        <f t="shared" si="92"/>
        <v>131.5</v>
      </c>
      <c r="H170" s="6">
        <f t="shared" si="76"/>
        <v>69.687334393216744</v>
      </c>
    </row>
    <row r="171" spans="1:10" ht="31.5" x14ac:dyDescent="0.25">
      <c r="A171" s="29" t="s">
        <v>149</v>
      </c>
      <c r="B171" s="40" t="s">
        <v>134</v>
      </c>
      <c r="C171" s="40" t="s">
        <v>156</v>
      </c>
      <c r="D171" s="40" t="s">
        <v>934</v>
      </c>
      <c r="E171" s="40" t="s">
        <v>150</v>
      </c>
      <c r="F171" s="6">
        <f>'Пр.4 ведом.20'!G219</f>
        <v>188.7</v>
      </c>
      <c r="G171" s="6">
        <f>'Пр.4 ведом.20'!H219</f>
        <v>131.5</v>
      </c>
      <c r="H171" s="6">
        <f t="shared" si="76"/>
        <v>69.687334393216744</v>
      </c>
    </row>
    <row r="172" spans="1:10" ht="47.25" hidden="1" x14ac:dyDescent="0.25">
      <c r="A172" s="35" t="s">
        <v>936</v>
      </c>
      <c r="B172" s="20" t="s">
        <v>134</v>
      </c>
      <c r="C172" s="20" t="s">
        <v>156</v>
      </c>
      <c r="D172" s="20" t="s">
        <v>935</v>
      </c>
      <c r="E172" s="24"/>
      <c r="F172" s="6">
        <f>F173</f>
        <v>0</v>
      </c>
      <c r="G172" s="6">
        <f t="shared" ref="G172:G173" si="93">G173</f>
        <v>0</v>
      </c>
      <c r="H172" s="6" t="e">
        <f t="shared" si="76"/>
        <v>#DIV/0!</v>
      </c>
    </row>
    <row r="173" spans="1:10" ht="31.5" hidden="1" x14ac:dyDescent="0.25">
      <c r="A173" s="25" t="s">
        <v>147</v>
      </c>
      <c r="B173" s="20" t="s">
        <v>134</v>
      </c>
      <c r="C173" s="20" t="s">
        <v>156</v>
      </c>
      <c r="D173" s="20" t="s">
        <v>935</v>
      </c>
      <c r="E173" s="20" t="s">
        <v>148</v>
      </c>
      <c r="F173" s="6">
        <f>F174</f>
        <v>0</v>
      </c>
      <c r="G173" s="6">
        <f t="shared" si="93"/>
        <v>0</v>
      </c>
      <c r="H173" s="6" t="e">
        <f t="shared" si="76"/>
        <v>#DIV/0!</v>
      </c>
      <c r="J173" s="22"/>
    </row>
    <row r="174" spans="1:10" ht="31.5" hidden="1" x14ac:dyDescent="0.25">
      <c r="A174" s="25" t="s">
        <v>149</v>
      </c>
      <c r="B174" s="20" t="s">
        <v>134</v>
      </c>
      <c r="C174" s="20" t="s">
        <v>156</v>
      </c>
      <c r="D174" s="20" t="s">
        <v>935</v>
      </c>
      <c r="E174" s="20" t="s">
        <v>150</v>
      </c>
      <c r="F174" s="6">
        <f>'Пр.4 ведом.20'!G222</f>
        <v>0</v>
      </c>
      <c r="G174" s="6">
        <f>'Пр.4 ведом.20'!H222</f>
        <v>0</v>
      </c>
      <c r="H174" s="6" t="e">
        <f t="shared" si="76"/>
        <v>#DIV/0!</v>
      </c>
    </row>
    <row r="175" spans="1:10" ht="47.25" x14ac:dyDescent="0.25">
      <c r="A175" s="23" t="s">
        <v>350</v>
      </c>
      <c r="B175" s="24" t="s">
        <v>134</v>
      </c>
      <c r="C175" s="24" t="s">
        <v>156</v>
      </c>
      <c r="D175" s="24" t="s">
        <v>351</v>
      </c>
      <c r="E175" s="24"/>
      <c r="F175" s="59">
        <f>F176</f>
        <v>175</v>
      </c>
      <c r="G175" s="347">
        <f t="shared" ref="G175" si="94">G176</f>
        <v>70</v>
      </c>
      <c r="H175" s="4">
        <f t="shared" si="76"/>
        <v>40</v>
      </c>
    </row>
    <row r="176" spans="1:10" ht="31.5" x14ac:dyDescent="0.25">
      <c r="A176" s="23" t="s">
        <v>1225</v>
      </c>
      <c r="B176" s="24" t="s">
        <v>134</v>
      </c>
      <c r="C176" s="24" t="s">
        <v>156</v>
      </c>
      <c r="D176" s="24" t="s">
        <v>1226</v>
      </c>
      <c r="E176" s="24"/>
      <c r="F176" s="59">
        <f>F177+F183+F186+F189+F195+F180+F192</f>
        <v>175</v>
      </c>
      <c r="G176" s="347">
        <f t="shared" ref="G176" si="95">G177+G183+G186+G189+G195+G180+G192</f>
        <v>70</v>
      </c>
      <c r="H176" s="4">
        <f t="shared" si="76"/>
        <v>40</v>
      </c>
    </row>
    <row r="177" spans="1:8" ht="31.5" x14ac:dyDescent="0.25">
      <c r="A177" s="98" t="s">
        <v>352</v>
      </c>
      <c r="B177" s="20" t="s">
        <v>134</v>
      </c>
      <c r="C177" s="20" t="s">
        <v>156</v>
      </c>
      <c r="D177" s="20" t="s">
        <v>1227</v>
      </c>
      <c r="E177" s="20"/>
      <c r="F177" s="10">
        <f t="shared" ref="F177:G178" si="96">F178</f>
        <v>120</v>
      </c>
      <c r="G177" s="335">
        <f t="shared" si="96"/>
        <v>70</v>
      </c>
      <c r="H177" s="6">
        <f t="shared" si="76"/>
        <v>58.333333333333336</v>
      </c>
    </row>
    <row r="178" spans="1:8" ht="31.5" x14ac:dyDescent="0.25">
      <c r="A178" s="25" t="s">
        <v>147</v>
      </c>
      <c r="B178" s="20" t="s">
        <v>134</v>
      </c>
      <c r="C178" s="20" t="s">
        <v>156</v>
      </c>
      <c r="D178" s="20" t="s">
        <v>1227</v>
      </c>
      <c r="E178" s="20" t="s">
        <v>148</v>
      </c>
      <c r="F178" s="10">
        <f>F179</f>
        <v>120</v>
      </c>
      <c r="G178" s="335">
        <f t="shared" si="96"/>
        <v>70</v>
      </c>
      <c r="H178" s="6">
        <f t="shared" si="76"/>
        <v>58.333333333333336</v>
      </c>
    </row>
    <row r="179" spans="1:8" ht="31.5" x14ac:dyDescent="0.25">
      <c r="A179" s="25" t="s">
        <v>149</v>
      </c>
      <c r="B179" s="20" t="s">
        <v>134</v>
      </c>
      <c r="C179" s="20" t="s">
        <v>156</v>
      </c>
      <c r="D179" s="20" t="s">
        <v>1227</v>
      </c>
      <c r="E179" s="20" t="s">
        <v>150</v>
      </c>
      <c r="F179" s="10">
        <f>'Пр.4 ведом.20'!G548+'Пр.4 ведом.20'!G227+'Пр.4 ведом.20'!G796</f>
        <v>120</v>
      </c>
      <c r="G179" s="335">
        <f>'Пр.4 ведом.20'!H548+'Пр.4 ведом.20'!H227+'Пр.4 ведом.20'!H796</f>
        <v>70</v>
      </c>
      <c r="H179" s="6">
        <f t="shared" si="76"/>
        <v>58.333333333333336</v>
      </c>
    </row>
    <row r="180" spans="1:8" s="217" customFormat="1" ht="47.25" hidden="1" x14ac:dyDescent="0.25">
      <c r="A180" s="98" t="s">
        <v>833</v>
      </c>
      <c r="B180" s="20" t="s">
        <v>134</v>
      </c>
      <c r="C180" s="20" t="s">
        <v>156</v>
      </c>
      <c r="D180" s="20" t="s">
        <v>1232</v>
      </c>
      <c r="E180" s="20"/>
      <c r="F180" s="10">
        <f>F181</f>
        <v>0</v>
      </c>
      <c r="G180" s="335">
        <f t="shared" ref="G180:G181" si="97">G181</f>
        <v>0</v>
      </c>
      <c r="H180" s="6" t="e">
        <f t="shared" si="76"/>
        <v>#DIV/0!</v>
      </c>
    </row>
    <row r="181" spans="1:8" s="217" customFormat="1" ht="31.5" hidden="1" x14ac:dyDescent="0.25">
      <c r="A181" s="25" t="s">
        <v>147</v>
      </c>
      <c r="B181" s="20" t="s">
        <v>134</v>
      </c>
      <c r="C181" s="20" t="s">
        <v>156</v>
      </c>
      <c r="D181" s="20" t="s">
        <v>1232</v>
      </c>
      <c r="E181" s="20" t="s">
        <v>148</v>
      </c>
      <c r="F181" s="10">
        <f>F182</f>
        <v>0</v>
      </c>
      <c r="G181" s="335">
        <f t="shared" si="97"/>
        <v>0</v>
      </c>
      <c r="H181" s="6" t="e">
        <f t="shared" si="76"/>
        <v>#DIV/0!</v>
      </c>
    </row>
    <row r="182" spans="1:8" s="217" customFormat="1" ht="37.5" hidden="1" customHeight="1" x14ac:dyDescent="0.25">
      <c r="A182" s="25" t="s">
        <v>149</v>
      </c>
      <c r="B182" s="20" t="s">
        <v>134</v>
      </c>
      <c r="C182" s="20" t="s">
        <v>156</v>
      </c>
      <c r="D182" s="20" t="s">
        <v>1232</v>
      </c>
      <c r="E182" s="20" t="s">
        <v>150</v>
      </c>
      <c r="F182" s="10">
        <v>0</v>
      </c>
      <c r="G182" s="335">
        <v>0</v>
      </c>
      <c r="H182" s="6" t="e">
        <f t="shared" si="76"/>
        <v>#DIV/0!</v>
      </c>
    </row>
    <row r="183" spans="1:8" ht="31.5" x14ac:dyDescent="0.25">
      <c r="A183" s="25" t="s">
        <v>354</v>
      </c>
      <c r="B183" s="20" t="s">
        <v>134</v>
      </c>
      <c r="C183" s="20" t="s">
        <v>156</v>
      </c>
      <c r="D183" s="20" t="s">
        <v>1228</v>
      </c>
      <c r="E183" s="20"/>
      <c r="F183" s="10">
        <f>F184</f>
        <v>25</v>
      </c>
      <c r="G183" s="335">
        <f t="shared" ref="G183:G184" si="98">G184</f>
        <v>0</v>
      </c>
      <c r="H183" s="6">
        <f t="shared" si="76"/>
        <v>0</v>
      </c>
    </row>
    <row r="184" spans="1:8" ht="31.5" x14ac:dyDescent="0.25">
      <c r="A184" s="25" t="s">
        <v>147</v>
      </c>
      <c r="B184" s="20" t="s">
        <v>134</v>
      </c>
      <c r="C184" s="20" t="s">
        <v>156</v>
      </c>
      <c r="D184" s="20" t="s">
        <v>1228</v>
      </c>
      <c r="E184" s="20" t="s">
        <v>148</v>
      </c>
      <c r="F184" s="10">
        <f>F185</f>
        <v>25</v>
      </c>
      <c r="G184" s="335">
        <f t="shared" si="98"/>
        <v>0</v>
      </c>
      <c r="H184" s="6">
        <f t="shared" si="76"/>
        <v>0</v>
      </c>
    </row>
    <row r="185" spans="1:8" ht="39.200000000000003" customHeight="1" x14ac:dyDescent="0.25">
      <c r="A185" s="25" t="s">
        <v>149</v>
      </c>
      <c r="B185" s="20" t="s">
        <v>134</v>
      </c>
      <c r="C185" s="20" t="s">
        <v>156</v>
      </c>
      <c r="D185" s="20" t="s">
        <v>1228</v>
      </c>
      <c r="E185" s="20" t="s">
        <v>150</v>
      </c>
      <c r="F185" s="10">
        <f>'Пр.4 ведом.20'!G230</f>
        <v>25</v>
      </c>
      <c r="G185" s="335">
        <f>'Пр.4 ведом.20'!H230</f>
        <v>0</v>
      </c>
      <c r="H185" s="6">
        <f t="shared" si="76"/>
        <v>0</v>
      </c>
    </row>
    <row r="186" spans="1:8" ht="47.25" x14ac:dyDescent="0.25">
      <c r="A186" s="31" t="s">
        <v>794</v>
      </c>
      <c r="B186" s="20" t="s">
        <v>134</v>
      </c>
      <c r="C186" s="20" t="s">
        <v>156</v>
      </c>
      <c r="D186" s="20" t="s">
        <v>1229</v>
      </c>
      <c r="E186" s="20"/>
      <c r="F186" s="10">
        <f t="shared" ref="F186:G187" si="99">F187</f>
        <v>10</v>
      </c>
      <c r="G186" s="335">
        <f t="shared" si="99"/>
        <v>0</v>
      </c>
      <c r="H186" s="6">
        <f t="shared" si="76"/>
        <v>0</v>
      </c>
    </row>
    <row r="187" spans="1:8" ht="31.5" x14ac:dyDescent="0.25">
      <c r="A187" s="25" t="s">
        <v>147</v>
      </c>
      <c r="B187" s="20" t="s">
        <v>134</v>
      </c>
      <c r="C187" s="20" t="s">
        <v>156</v>
      </c>
      <c r="D187" s="20" t="s">
        <v>1229</v>
      </c>
      <c r="E187" s="20" t="s">
        <v>148</v>
      </c>
      <c r="F187" s="10">
        <f>F188</f>
        <v>10</v>
      </c>
      <c r="G187" s="335">
        <f t="shared" si="99"/>
        <v>0</v>
      </c>
      <c r="H187" s="6">
        <f t="shared" si="76"/>
        <v>0</v>
      </c>
    </row>
    <row r="188" spans="1:8" ht="31.5" x14ac:dyDescent="0.25">
      <c r="A188" s="25" t="s">
        <v>149</v>
      </c>
      <c r="B188" s="20" t="s">
        <v>134</v>
      </c>
      <c r="C188" s="20" t="s">
        <v>156</v>
      </c>
      <c r="D188" s="20" t="s">
        <v>1229</v>
      </c>
      <c r="E188" s="20" t="s">
        <v>150</v>
      </c>
      <c r="F188" s="10">
        <f>'Пр.4 ведом.20'!G233</f>
        <v>10</v>
      </c>
      <c r="G188" s="335">
        <f>'Пр.4 ведом.20'!H233</f>
        <v>0</v>
      </c>
      <c r="H188" s="6">
        <f t="shared" si="76"/>
        <v>0</v>
      </c>
    </row>
    <row r="189" spans="1:8" ht="15.75" hidden="1" x14ac:dyDescent="0.25">
      <c r="A189" s="25" t="s">
        <v>1144</v>
      </c>
      <c r="B189" s="20" t="s">
        <v>134</v>
      </c>
      <c r="C189" s="20" t="s">
        <v>156</v>
      </c>
      <c r="D189" s="20" t="s">
        <v>1230</v>
      </c>
      <c r="E189" s="20"/>
      <c r="F189" s="10">
        <f t="shared" ref="F189:G190" si="100">F190</f>
        <v>0</v>
      </c>
      <c r="G189" s="335">
        <f t="shared" si="100"/>
        <v>0</v>
      </c>
      <c r="H189" s="6" t="e">
        <f t="shared" si="76"/>
        <v>#DIV/0!</v>
      </c>
    </row>
    <row r="190" spans="1:8" ht="31.5" hidden="1" x14ac:dyDescent="0.25">
      <c r="A190" s="25" t="s">
        <v>147</v>
      </c>
      <c r="B190" s="20" t="s">
        <v>134</v>
      </c>
      <c r="C190" s="20" t="s">
        <v>156</v>
      </c>
      <c r="D190" s="20" t="s">
        <v>1230</v>
      </c>
      <c r="E190" s="20" t="s">
        <v>148</v>
      </c>
      <c r="F190" s="10">
        <f>F191</f>
        <v>0</v>
      </c>
      <c r="G190" s="335">
        <f t="shared" si="100"/>
        <v>0</v>
      </c>
      <c r="H190" s="6" t="e">
        <f t="shared" si="76"/>
        <v>#DIV/0!</v>
      </c>
    </row>
    <row r="191" spans="1:8" ht="31.5" hidden="1" x14ac:dyDescent="0.25">
      <c r="A191" s="25" t="s">
        <v>149</v>
      </c>
      <c r="B191" s="20" t="s">
        <v>134</v>
      </c>
      <c r="C191" s="20" t="s">
        <v>156</v>
      </c>
      <c r="D191" s="20" t="s">
        <v>1230</v>
      </c>
      <c r="E191" s="20" t="s">
        <v>150</v>
      </c>
      <c r="F191" s="10">
        <f>'Пр.4 ведом.20'!G236</f>
        <v>0</v>
      </c>
      <c r="G191" s="335">
        <f>'Пр.4 ведом.20'!H236</f>
        <v>0</v>
      </c>
      <c r="H191" s="6" t="e">
        <f t="shared" si="76"/>
        <v>#DIV/0!</v>
      </c>
    </row>
    <row r="192" spans="1:8" s="217" customFormat="1" ht="21.75" hidden="1" customHeight="1" x14ac:dyDescent="0.25">
      <c r="A192" s="31" t="s">
        <v>1259</v>
      </c>
      <c r="B192" s="20" t="s">
        <v>134</v>
      </c>
      <c r="C192" s="20" t="s">
        <v>156</v>
      </c>
      <c r="D192" s="20" t="s">
        <v>1260</v>
      </c>
      <c r="E192" s="20"/>
      <c r="F192" s="10">
        <f>F193</f>
        <v>0</v>
      </c>
      <c r="G192" s="335">
        <f t="shared" ref="G192:G193" si="101">G193</f>
        <v>0</v>
      </c>
      <c r="H192" s="6" t="e">
        <f t="shared" si="76"/>
        <v>#DIV/0!</v>
      </c>
    </row>
    <row r="193" spans="1:8" s="217" customFormat="1" ht="31.5" hidden="1" x14ac:dyDescent="0.25">
      <c r="A193" s="25" t="s">
        <v>147</v>
      </c>
      <c r="B193" s="20" t="s">
        <v>134</v>
      </c>
      <c r="C193" s="20" t="s">
        <v>156</v>
      </c>
      <c r="D193" s="20" t="s">
        <v>1260</v>
      </c>
      <c r="E193" s="20" t="s">
        <v>148</v>
      </c>
      <c r="F193" s="10">
        <f>F194</f>
        <v>0</v>
      </c>
      <c r="G193" s="335">
        <f t="shared" si="101"/>
        <v>0</v>
      </c>
      <c r="H193" s="6" t="e">
        <f t="shared" si="76"/>
        <v>#DIV/0!</v>
      </c>
    </row>
    <row r="194" spans="1:8" s="217" customFormat="1" ht="31.5" hidden="1" x14ac:dyDescent="0.25">
      <c r="A194" s="25" t="s">
        <v>149</v>
      </c>
      <c r="B194" s="20" t="s">
        <v>134</v>
      </c>
      <c r="C194" s="20" t="s">
        <v>156</v>
      </c>
      <c r="D194" s="20" t="s">
        <v>1260</v>
      </c>
      <c r="E194" s="20" t="s">
        <v>150</v>
      </c>
      <c r="F194" s="10">
        <v>0</v>
      </c>
      <c r="G194" s="335">
        <v>0</v>
      </c>
      <c r="H194" s="6" t="e">
        <f t="shared" si="76"/>
        <v>#DIV/0!</v>
      </c>
    </row>
    <row r="195" spans="1:8" ht="31.5" x14ac:dyDescent="0.25">
      <c r="A195" s="31" t="s">
        <v>795</v>
      </c>
      <c r="B195" s="20" t="s">
        <v>134</v>
      </c>
      <c r="C195" s="20" t="s">
        <v>156</v>
      </c>
      <c r="D195" s="20" t="s">
        <v>1231</v>
      </c>
      <c r="E195" s="20"/>
      <c r="F195" s="10">
        <f>F196</f>
        <v>20</v>
      </c>
      <c r="G195" s="335">
        <f t="shared" ref="G195:G196" si="102">G196</f>
        <v>0</v>
      </c>
      <c r="H195" s="6">
        <f t="shared" si="76"/>
        <v>0</v>
      </c>
    </row>
    <row r="196" spans="1:8" ht="31.5" x14ac:dyDescent="0.25">
      <c r="A196" s="25" t="s">
        <v>147</v>
      </c>
      <c r="B196" s="20" t="s">
        <v>134</v>
      </c>
      <c r="C196" s="20" t="s">
        <v>156</v>
      </c>
      <c r="D196" s="20" t="s">
        <v>1231</v>
      </c>
      <c r="E196" s="20" t="s">
        <v>148</v>
      </c>
      <c r="F196" s="10">
        <f>F197</f>
        <v>20</v>
      </c>
      <c r="G196" s="335">
        <f t="shared" si="102"/>
        <v>0</v>
      </c>
      <c r="H196" s="6">
        <f t="shared" si="76"/>
        <v>0</v>
      </c>
    </row>
    <row r="197" spans="1:8" ht="31.5" x14ac:dyDescent="0.25">
      <c r="A197" s="25" t="s">
        <v>149</v>
      </c>
      <c r="B197" s="20" t="s">
        <v>134</v>
      </c>
      <c r="C197" s="20" t="s">
        <v>156</v>
      </c>
      <c r="D197" s="20" t="s">
        <v>1231</v>
      </c>
      <c r="E197" s="20" t="s">
        <v>150</v>
      </c>
      <c r="F197" s="10">
        <f>'Пр.4 ведом.20'!G239</f>
        <v>20</v>
      </c>
      <c r="G197" s="335">
        <f>'Пр.4 ведом.20'!H239</f>
        <v>0</v>
      </c>
      <c r="H197" s="6">
        <f t="shared" si="76"/>
        <v>0</v>
      </c>
    </row>
    <row r="198" spans="1:8" ht="63" x14ac:dyDescent="0.25">
      <c r="A198" s="41" t="s">
        <v>730</v>
      </c>
      <c r="B198" s="8" t="s">
        <v>134</v>
      </c>
      <c r="C198" s="8" t="s">
        <v>156</v>
      </c>
      <c r="D198" s="24" t="s">
        <v>728</v>
      </c>
      <c r="E198" s="235"/>
      <c r="F198" s="59">
        <f>F199+F203</f>
        <v>48</v>
      </c>
      <c r="G198" s="347">
        <f t="shared" ref="G198" si="103">G199+G203</f>
        <v>15</v>
      </c>
      <c r="H198" s="4">
        <f t="shared" si="76"/>
        <v>31.25</v>
      </c>
    </row>
    <row r="199" spans="1:8" s="217" customFormat="1" ht="47.25" x14ac:dyDescent="0.25">
      <c r="A199" s="223" t="s">
        <v>892</v>
      </c>
      <c r="B199" s="24" t="s">
        <v>134</v>
      </c>
      <c r="C199" s="24" t="s">
        <v>156</v>
      </c>
      <c r="D199" s="24" t="s">
        <v>898</v>
      </c>
      <c r="E199" s="24"/>
      <c r="F199" s="59">
        <f>F200</f>
        <v>33</v>
      </c>
      <c r="G199" s="347">
        <f t="shared" ref="G199" si="104">G200</f>
        <v>0</v>
      </c>
      <c r="H199" s="4">
        <f t="shared" si="76"/>
        <v>0</v>
      </c>
    </row>
    <row r="200" spans="1:8" ht="39.75" customHeight="1" x14ac:dyDescent="0.25">
      <c r="A200" s="99" t="s">
        <v>799</v>
      </c>
      <c r="B200" s="20" t="s">
        <v>134</v>
      </c>
      <c r="C200" s="20" t="s">
        <v>156</v>
      </c>
      <c r="D200" s="20" t="s">
        <v>893</v>
      </c>
      <c r="E200" s="20"/>
      <c r="F200" s="10">
        <f t="shared" ref="F200:G201" si="105">F201</f>
        <v>33</v>
      </c>
      <c r="G200" s="335">
        <f t="shared" si="105"/>
        <v>0</v>
      </c>
      <c r="H200" s="6">
        <f t="shared" si="76"/>
        <v>0</v>
      </c>
    </row>
    <row r="201" spans="1:8" ht="31.5" x14ac:dyDescent="0.25">
      <c r="A201" s="25" t="s">
        <v>147</v>
      </c>
      <c r="B201" s="20" t="s">
        <v>134</v>
      </c>
      <c r="C201" s="20" t="s">
        <v>156</v>
      </c>
      <c r="D201" s="20" t="s">
        <v>893</v>
      </c>
      <c r="E201" s="20" t="s">
        <v>148</v>
      </c>
      <c r="F201" s="10">
        <f t="shared" si="105"/>
        <v>33</v>
      </c>
      <c r="G201" s="335">
        <f t="shared" si="105"/>
        <v>0</v>
      </c>
      <c r="H201" s="6">
        <f t="shared" si="76"/>
        <v>0</v>
      </c>
    </row>
    <row r="202" spans="1:8" ht="31.5" x14ac:dyDescent="0.25">
      <c r="A202" s="25" t="s">
        <v>149</v>
      </c>
      <c r="B202" s="20" t="s">
        <v>134</v>
      </c>
      <c r="C202" s="20" t="s">
        <v>156</v>
      </c>
      <c r="D202" s="20" t="s">
        <v>893</v>
      </c>
      <c r="E202" s="20" t="s">
        <v>150</v>
      </c>
      <c r="F202" s="10">
        <f>'Пр.4 ведом.20'!G244+'Пр.4 ведом.20'!G119</f>
        <v>33</v>
      </c>
      <c r="G202" s="335">
        <f>'Пр.4 ведом.20'!H244+'Пр.4 ведом.20'!H119</f>
        <v>0</v>
      </c>
      <c r="H202" s="6">
        <f t="shared" si="76"/>
        <v>0</v>
      </c>
    </row>
    <row r="203" spans="1:8" s="217" customFormat="1" ht="31.5" x14ac:dyDescent="0.25">
      <c r="A203" s="224" t="s">
        <v>1188</v>
      </c>
      <c r="B203" s="24" t="s">
        <v>134</v>
      </c>
      <c r="C203" s="24" t="s">
        <v>156</v>
      </c>
      <c r="D203" s="24" t="s">
        <v>899</v>
      </c>
      <c r="E203" s="235"/>
      <c r="F203" s="59">
        <f>F204</f>
        <v>15</v>
      </c>
      <c r="G203" s="347">
        <f t="shared" ref="G203" si="106">G204</f>
        <v>15</v>
      </c>
      <c r="H203" s="4">
        <f t="shared" ref="H203:H266" si="107">G203/F203*100</f>
        <v>100</v>
      </c>
    </row>
    <row r="204" spans="1:8" ht="33" customHeight="1" x14ac:dyDescent="0.25">
      <c r="A204" s="99" t="s">
        <v>800</v>
      </c>
      <c r="B204" s="20" t="s">
        <v>134</v>
      </c>
      <c r="C204" s="20" t="s">
        <v>156</v>
      </c>
      <c r="D204" s="20" t="s">
        <v>894</v>
      </c>
      <c r="E204" s="32"/>
      <c r="F204" s="10">
        <f t="shared" ref="F204:G205" si="108">F205</f>
        <v>15</v>
      </c>
      <c r="G204" s="335">
        <f t="shared" si="108"/>
        <v>15</v>
      </c>
      <c r="H204" s="6">
        <f t="shared" si="107"/>
        <v>100</v>
      </c>
    </row>
    <row r="205" spans="1:8" ht="31.7" customHeight="1" x14ac:dyDescent="0.25">
      <c r="A205" s="25" t="s">
        <v>147</v>
      </c>
      <c r="B205" s="20" t="s">
        <v>134</v>
      </c>
      <c r="C205" s="20" t="s">
        <v>156</v>
      </c>
      <c r="D205" s="20" t="s">
        <v>894</v>
      </c>
      <c r="E205" s="32" t="s">
        <v>148</v>
      </c>
      <c r="F205" s="10">
        <f t="shared" si="108"/>
        <v>15</v>
      </c>
      <c r="G205" s="335">
        <f t="shared" si="108"/>
        <v>15</v>
      </c>
      <c r="H205" s="6">
        <f t="shared" si="107"/>
        <v>100</v>
      </c>
    </row>
    <row r="206" spans="1:8" ht="40.700000000000003" customHeight="1" x14ac:dyDescent="0.25">
      <c r="A206" s="25" t="s">
        <v>149</v>
      </c>
      <c r="B206" s="20" t="s">
        <v>134</v>
      </c>
      <c r="C206" s="20" t="s">
        <v>156</v>
      </c>
      <c r="D206" s="20" t="s">
        <v>894</v>
      </c>
      <c r="E206" s="32" t="s">
        <v>150</v>
      </c>
      <c r="F206" s="10">
        <f>'Пр.4 ведом.20'!G123</f>
        <v>15</v>
      </c>
      <c r="G206" s="335">
        <f>'Пр.4 ведом.20'!H123</f>
        <v>15</v>
      </c>
      <c r="H206" s="6">
        <f t="shared" si="107"/>
        <v>100</v>
      </c>
    </row>
    <row r="207" spans="1:8" ht="63" x14ac:dyDescent="0.25">
      <c r="A207" s="229" t="s">
        <v>804</v>
      </c>
      <c r="B207" s="24" t="s">
        <v>134</v>
      </c>
      <c r="C207" s="24" t="s">
        <v>156</v>
      </c>
      <c r="D207" s="24" t="s">
        <v>806</v>
      </c>
      <c r="E207" s="235"/>
      <c r="F207" s="59">
        <f>F209</f>
        <v>239.82</v>
      </c>
      <c r="G207" s="347">
        <f t="shared" ref="G207" si="109">G209</f>
        <v>0</v>
      </c>
      <c r="H207" s="4">
        <f t="shared" si="107"/>
        <v>0</v>
      </c>
    </row>
    <row r="208" spans="1:8" s="217" customFormat="1" ht="31.5" x14ac:dyDescent="0.25">
      <c r="A208" s="23" t="s">
        <v>1003</v>
      </c>
      <c r="B208" s="24" t="s">
        <v>134</v>
      </c>
      <c r="C208" s="24" t="s">
        <v>156</v>
      </c>
      <c r="D208" s="24" t="s">
        <v>1182</v>
      </c>
      <c r="E208" s="235"/>
      <c r="F208" s="59">
        <f>F209</f>
        <v>239.82</v>
      </c>
      <c r="G208" s="347">
        <f t="shared" ref="G208:G210" si="110">G209</f>
        <v>0</v>
      </c>
      <c r="H208" s="4">
        <f t="shared" si="107"/>
        <v>0</v>
      </c>
    </row>
    <row r="209" spans="1:8" ht="31.5" x14ac:dyDescent="0.25">
      <c r="A209" s="192" t="s">
        <v>816</v>
      </c>
      <c r="B209" s="20" t="s">
        <v>134</v>
      </c>
      <c r="C209" s="20" t="s">
        <v>156</v>
      </c>
      <c r="D209" s="20" t="s">
        <v>1183</v>
      </c>
      <c r="E209" s="32"/>
      <c r="F209" s="10">
        <f>F210</f>
        <v>239.82</v>
      </c>
      <c r="G209" s="335">
        <f t="shared" si="110"/>
        <v>0</v>
      </c>
      <c r="H209" s="6">
        <f t="shared" si="107"/>
        <v>0</v>
      </c>
    </row>
    <row r="210" spans="1:8" ht="31.5" x14ac:dyDescent="0.25">
      <c r="A210" s="192" t="s">
        <v>147</v>
      </c>
      <c r="B210" s="20" t="s">
        <v>134</v>
      </c>
      <c r="C210" s="20" t="s">
        <v>156</v>
      </c>
      <c r="D210" s="20" t="s">
        <v>1183</v>
      </c>
      <c r="E210" s="32" t="s">
        <v>148</v>
      </c>
      <c r="F210" s="10">
        <f>F211</f>
        <v>239.82</v>
      </c>
      <c r="G210" s="335">
        <f t="shared" si="110"/>
        <v>0</v>
      </c>
      <c r="H210" s="6">
        <f t="shared" si="107"/>
        <v>0</v>
      </c>
    </row>
    <row r="211" spans="1:8" ht="31.5" x14ac:dyDescent="0.25">
      <c r="A211" s="192" t="s">
        <v>149</v>
      </c>
      <c r="B211" s="20" t="s">
        <v>134</v>
      </c>
      <c r="C211" s="20" t="s">
        <v>156</v>
      </c>
      <c r="D211" s="20" t="s">
        <v>1183</v>
      </c>
      <c r="E211" s="32" t="s">
        <v>150</v>
      </c>
      <c r="F211" s="10">
        <f>'Пр.4 ведом.20'!G524</f>
        <v>239.82</v>
      </c>
      <c r="G211" s="335">
        <f>'Пр.4 ведом.20'!H524</f>
        <v>0</v>
      </c>
      <c r="H211" s="6">
        <f t="shared" si="107"/>
        <v>0</v>
      </c>
    </row>
    <row r="212" spans="1:8" ht="78.75" x14ac:dyDescent="0.25">
      <c r="A212" s="41" t="s">
        <v>863</v>
      </c>
      <c r="B212" s="8" t="s">
        <v>134</v>
      </c>
      <c r="C212" s="8" t="s">
        <v>156</v>
      </c>
      <c r="D212" s="259" t="s">
        <v>861</v>
      </c>
      <c r="E212" s="8"/>
      <c r="F212" s="59">
        <f>F213</f>
        <v>30</v>
      </c>
      <c r="G212" s="347">
        <f t="shared" ref="G212:G215" si="111">G213</f>
        <v>0</v>
      </c>
      <c r="H212" s="4">
        <f t="shared" si="107"/>
        <v>0</v>
      </c>
    </row>
    <row r="213" spans="1:8" s="217" customFormat="1" ht="47.25" x14ac:dyDescent="0.25">
      <c r="A213" s="225" t="s">
        <v>900</v>
      </c>
      <c r="B213" s="8" t="s">
        <v>134</v>
      </c>
      <c r="C213" s="8" t="s">
        <v>156</v>
      </c>
      <c r="D213" s="207" t="s">
        <v>1262</v>
      </c>
      <c r="E213" s="8"/>
      <c r="F213" s="59">
        <f>F214</f>
        <v>30</v>
      </c>
      <c r="G213" s="347">
        <f t="shared" si="111"/>
        <v>0</v>
      </c>
      <c r="H213" s="4">
        <f t="shared" si="107"/>
        <v>0</v>
      </c>
    </row>
    <row r="214" spans="1:8" ht="31.5" x14ac:dyDescent="0.25">
      <c r="A214" s="98" t="s">
        <v>187</v>
      </c>
      <c r="B214" s="9" t="s">
        <v>134</v>
      </c>
      <c r="C214" s="9" t="s">
        <v>156</v>
      </c>
      <c r="D214" s="5" t="s">
        <v>901</v>
      </c>
      <c r="E214" s="9"/>
      <c r="F214" s="10">
        <f>F215</f>
        <v>30</v>
      </c>
      <c r="G214" s="335">
        <f t="shared" si="111"/>
        <v>0</v>
      </c>
      <c r="H214" s="6">
        <f t="shared" si="107"/>
        <v>0</v>
      </c>
    </row>
    <row r="215" spans="1:8" ht="31.5" x14ac:dyDescent="0.25">
      <c r="A215" s="25" t="s">
        <v>147</v>
      </c>
      <c r="B215" s="9" t="s">
        <v>134</v>
      </c>
      <c r="C215" s="9" t="s">
        <v>156</v>
      </c>
      <c r="D215" s="5" t="s">
        <v>901</v>
      </c>
      <c r="E215" s="9" t="s">
        <v>148</v>
      </c>
      <c r="F215" s="10">
        <f>F216</f>
        <v>30</v>
      </c>
      <c r="G215" s="335">
        <f t="shared" si="111"/>
        <v>0</v>
      </c>
      <c r="H215" s="6">
        <f t="shared" si="107"/>
        <v>0</v>
      </c>
    </row>
    <row r="216" spans="1:8" ht="31.5" x14ac:dyDescent="0.25">
      <c r="A216" s="25" t="s">
        <v>149</v>
      </c>
      <c r="B216" s="9" t="s">
        <v>134</v>
      </c>
      <c r="C216" s="9" t="s">
        <v>156</v>
      </c>
      <c r="D216" s="5" t="s">
        <v>901</v>
      </c>
      <c r="E216" s="9" t="s">
        <v>150</v>
      </c>
      <c r="F216" s="10">
        <f>'Пр.4 ведом.20'!G128</f>
        <v>30</v>
      </c>
      <c r="G216" s="335">
        <f>'Пр.4 ведом.20'!H128</f>
        <v>0</v>
      </c>
      <c r="H216" s="6">
        <f t="shared" si="107"/>
        <v>0</v>
      </c>
    </row>
    <row r="217" spans="1:8" ht="63" x14ac:dyDescent="0.25">
      <c r="A217" s="41" t="s">
        <v>1186</v>
      </c>
      <c r="B217" s="8" t="s">
        <v>134</v>
      </c>
      <c r="C217" s="8" t="s">
        <v>156</v>
      </c>
      <c r="D217" s="207" t="s">
        <v>862</v>
      </c>
      <c r="E217" s="8"/>
      <c r="F217" s="4">
        <f>F218</f>
        <v>80</v>
      </c>
      <c r="G217" s="4">
        <f t="shared" ref="G217" si="112">G218</f>
        <v>0</v>
      </c>
      <c r="H217" s="4">
        <f t="shared" si="107"/>
        <v>0</v>
      </c>
    </row>
    <row r="218" spans="1:8" ht="31.5" x14ac:dyDescent="0.25">
      <c r="A218" s="58" t="s">
        <v>902</v>
      </c>
      <c r="B218" s="8" t="s">
        <v>134</v>
      </c>
      <c r="C218" s="8" t="s">
        <v>156</v>
      </c>
      <c r="D218" s="207" t="s">
        <v>910</v>
      </c>
      <c r="E218" s="8"/>
      <c r="F218" s="4">
        <f t="shared" ref="F218:G220" si="113">F219</f>
        <v>80</v>
      </c>
      <c r="G218" s="4">
        <f t="shared" si="113"/>
        <v>0</v>
      </c>
      <c r="H218" s="4">
        <f t="shared" si="107"/>
        <v>0</v>
      </c>
    </row>
    <row r="219" spans="1:8" ht="15.75" x14ac:dyDescent="0.25">
      <c r="A219" s="45" t="s">
        <v>867</v>
      </c>
      <c r="B219" s="9" t="s">
        <v>134</v>
      </c>
      <c r="C219" s="9" t="s">
        <v>156</v>
      </c>
      <c r="D219" s="5" t="s">
        <v>903</v>
      </c>
      <c r="E219" s="9"/>
      <c r="F219" s="308">
        <f t="shared" si="113"/>
        <v>80</v>
      </c>
      <c r="G219" s="308">
        <f t="shared" si="113"/>
        <v>0</v>
      </c>
      <c r="H219" s="6">
        <f t="shared" si="107"/>
        <v>0</v>
      </c>
    </row>
    <row r="220" spans="1:8" ht="48.2" customHeight="1" x14ac:dyDescent="0.25">
      <c r="A220" s="25" t="s">
        <v>147</v>
      </c>
      <c r="B220" s="9" t="s">
        <v>134</v>
      </c>
      <c r="C220" s="9" t="s">
        <v>156</v>
      </c>
      <c r="D220" s="5" t="s">
        <v>903</v>
      </c>
      <c r="E220" s="9" t="s">
        <v>148</v>
      </c>
      <c r="F220" s="308">
        <f>F221</f>
        <v>80</v>
      </c>
      <c r="G220" s="308">
        <f t="shared" si="113"/>
        <v>0</v>
      </c>
      <c r="H220" s="6">
        <f t="shared" si="107"/>
        <v>0</v>
      </c>
    </row>
    <row r="221" spans="1:8" ht="31.5" x14ac:dyDescent="0.25">
      <c r="A221" s="25" t="s">
        <v>149</v>
      </c>
      <c r="B221" s="9" t="s">
        <v>134</v>
      </c>
      <c r="C221" s="9" t="s">
        <v>156</v>
      </c>
      <c r="D221" s="5" t="s">
        <v>903</v>
      </c>
      <c r="E221" s="9" t="s">
        <v>150</v>
      </c>
      <c r="F221" s="6">
        <f>'Пр.4 ведом.20'!G133</f>
        <v>80</v>
      </c>
      <c r="G221" s="6">
        <f>'Пр.4 ведом.20'!H133</f>
        <v>0</v>
      </c>
      <c r="H221" s="6">
        <f t="shared" si="107"/>
        <v>0</v>
      </c>
    </row>
    <row r="222" spans="1:8" s="217" customFormat="1" ht="15.75" hidden="1" x14ac:dyDescent="0.25">
      <c r="A222" s="23" t="s">
        <v>228</v>
      </c>
      <c r="B222" s="24" t="s">
        <v>229</v>
      </c>
      <c r="C222" s="24"/>
      <c r="D222" s="24"/>
      <c r="E222" s="24"/>
      <c r="F222" s="4">
        <f t="shared" ref="F222:G227" si="114">F223</f>
        <v>0</v>
      </c>
      <c r="G222" s="4">
        <f t="shared" si="114"/>
        <v>0</v>
      </c>
      <c r="H222" s="6" t="e">
        <f t="shared" si="107"/>
        <v>#DIV/0!</v>
      </c>
    </row>
    <row r="223" spans="1:8" s="217" customFormat="1" ht="19.5" hidden="1" customHeight="1" x14ac:dyDescent="0.25">
      <c r="A223" s="23" t="s">
        <v>234</v>
      </c>
      <c r="B223" s="24" t="s">
        <v>229</v>
      </c>
      <c r="C223" s="24" t="s">
        <v>235</v>
      </c>
      <c r="D223" s="24"/>
      <c r="E223" s="24"/>
      <c r="F223" s="4">
        <f t="shared" si="114"/>
        <v>0</v>
      </c>
      <c r="G223" s="4">
        <f t="shared" si="114"/>
        <v>0</v>
      </c>
      <c r="H223" s="6" t="e">
        <f t="shared" si="107"/>
        <v>#DIV/0!</v>
      </c>
    </row>
    <row r="224" spans="1:8" s="217" customFormat="1" ht="15.75" hidden="1" x14ac:dyDescent="0.25">
      <c r="A224" s="23" t="s">
        <v>157</v>
      </c>
      <c r="B224" s="24" t="s">
        <v>229</v>
      </c>
      <c r="C224" s="24" t="s">
        <v>235</v>
      </c>
      <c r="D224" s="24" t="s">
        <v>912</v>
      </c>
      <c r="E224" s="24"/>
      <c r="F224" s="4">
        <f t="shared" si="114"/>
        <v>0</v>
      </c>
      <c r="G224" s="4">
        <f t="shared" si="114"/>
        <v>0</v>
      </c>
      <c r="H224" s="6" t="e">
        <f t="shared" si="107"/>
        <v>#DIV/0!</v>
      </c>
    </row>
    <row r="225" spans="1:10" s="217" customFormat="1" ht="31.5" hidden="1" x14ac:dyDescent="0.25">
      <c r="A225" s="23" t="s">
        <v>916</v>
      </c>
      <c r="B225" s="24" t="s">
        <v>229</v>
      </c>
      <c r="C225" s="24" t="s">
        <v>235</v>
      </c>
      <c r="D225" s="24" t="s">
        <v>911</v>
      </c>
      <c r="E225" s="24"/>
      <c r="F225" s="4">
        <f t="shared" si="114"/>
        <v>0</v>
      </c>
      <c r="G225" s="4">
        <f t="shared" si="114"/>
        <v>0</v>
      </c>
      <c r="H225" s="6" t="e">
        <f t="shared" si="107"/>
        <v>#DIV/0!</v>
      </c>
    </row>
    <row r="226" spans="1:10" s="217" customFormat="1" ht="15.75" hidden="1" x14ac:dyDescent="0.25">
      <c r="A226" s="25" t="s">
        <v>236</v>
      </c>
      <c r="B226" s="20" t="s">
        <v>229</v>
      </c>
      <c r="C226" s="20" t="s">
        <v>235</v>
      </c>
      <c r="D226" s="20" t="s">
        <v>917</v>
      </c>
      <c r="E226" s="20"/>
      <c r="F226" s="6">
        <f t="shared" si="114"/>
        <v>0</v>
      </c>
      <c r="G226" s="6">
        <f t="shared" si="114"/>
        <v>0</v>
      </c>
      <c r="H226" s="6" t="e">
        <f t="shared" si="107"/>
        <v>#DIV/0!</v>
      </c>
    </row>
    <row r="227" spans="1:10" s="217" customFormat="1" ht="31.5" hidden="1" x14ac:dyDescent="0.25">
      <c r="A227" s="25" t="s">
        <v>214</v>
      </c>
      <c r="B227" s="20" t="s">
        <v>229</v>
      </c>
      <c r="C227" s="20" t="s">
        <v>235</v>
      </c>
      <c r="D227" s="20" t="s">
        <v>917</v>
      </c>
      <c r="E227" s="20" t="s">
        <v>148</v>
      </c>
      <c r="F227" s="6">
        <f t="shared" si="114"/>
        <v>0</v>
      </c>
      <c r="G227" s="6">
        <f t="shared" si="114"/>
        <v>0</v>
      </c>
      <c r="H227" s="6" t="e">
        <f t="shared" si="107"/>
        <v>#DIV/0!</v>
      </c>
    </row>
    <row r="228" spans="1:10" s="217" customFormat="1" ht="31.5" hidden="1" x14ac:dyDescent="0.25">
      <c r="A228" s="25" t="s">
        <v>149</v>
      </c>
      <c r="B228" s="20" t="s">
        <v>229</v>
      </c>
      <c r="C228" s="20" t="s">
        <v>235</v>
      </c>
      <c r="D228" s="20" t="s">
        <v>917</v>
      </c>
      <c r="E228" s="20" t="s">
        <v>150</v>
      </c>
      <c r="F228" s="6">
        <f>'Пр.4 ведом.20'!G140</f>
        <v>0</v>
      </c>
      <c r="G228" s="6">
        <f>'Пр.4 ведом.20'!H140</f>
        <v>0</v>
      </c>
      <c r="H228" s="6" t="e">
        <f t="shared" si="107"/>
        <v>#DIV/0!</v>
      </c>
    </row>
    <row r="229" spans="1:10" ht="31.5" x14ac:dyDescent="0.25">
      <c r="A229" s="23" t="s">
        <v>238</v>
      </c>
      <c r="B229" s="24" t="s">
        <v>231</v>
      </c>
      <c r="C229" s="24"/>
      <c r="D229" s="24"/>
      <c r="E229" s="24"/>
      <c r="F229" s="4">
        <f t="shared" ref="F229:G230" si="115">F230</f>
        <v>7966.4</v>
      </c>
      <c r="G229" s="4">
        <f t="shared" si="115"/>
        <v>3209.7000000000003</v>
      </c>
      <c r="H229" s="4">
        <f t="shared" si="107"/>
        <v>40.290469973890346</v>
      </c>
    </row>
    <row r="230" spans="1:10" ht="47.25" x14ac:dyDescent="0.25">
      <c r="A230" s="23" t="s">
        <v>239</v>
      </c>
      <c r="B230" s="24" t="s">
        <v>231</v>
      </c>
      <c r="C230" s="24" t="s">
        <v>235</v>
      </c>
      <c r="D230" s="20"/>
      <c r="E230" s="20"/>
      <c r="F230" s="4">
        <f t="shared" si="115"/>
        <v>7966.4</v>
      </c>
      <c r="G230" s="4">
        <f t="shared" si="115"/>
        <v>3209.7000000000003</v>
      </c>
      <c r="H230" s="4">
        <f t="shared" si="107"/>
        <v>40.290469973890346</v>
      </c>
      <c r="I230" s="22"/>
      <c r="J230" s="22"/>
    </row>
    <row r="231" spans="1:10" ht="15.75" x14ac:dyDescent="0.25">
      <c r="A231" s="23" t="s">
        <v>157</v>
      </c>
      <c r="B231" s="24" t="s">
        <v>231</v>
      </c>
      <c r="C231" s="24" t="s">
        <v>235</v>
      </c>
      <c r="D231" s="24" t="s">
        <v>912</v>
      </c>
      <c r="E231" s="24"/>
      <c r="F231" s="4">
        <f>F232+F239</f>
        <v>7966.4</v>
      </c>
      <c r="G231" s="4">
        <f t="shared" ref="G231" si="116">G232+G239</f>
        <v>3209.7000000000003</v>
      </c>
      <c r="H231" s="4">
        <f t="shared" si="107"/>
        <v>40.290469973890346</v>
      </c>
    </row>
    <row r="232" spans="1:10" ht="31.5" x14ac:dyDescent="0.25">
      <c r="A232" s="23" t="s">
        <v>916</v>
      </c>
      <c r="B232" s="24" t="s">
        <v>231</v>
      </c>
      <c r="C232" s="24" t="s">
        <v>235</v>
      </c>
      <c r="D232" s="24" t="s">
        <v>911</v>
      </c>
      <c r="E232" s="24"/>
      <c r="F232" s="4">
        <f>F233+F236</f>
        <v>2089</v>
      </c>
      <c r="G232" s="4">
        <f t="shared" ref="G232" si="117">G233+G236</f>
        <v>70.8</v>
      </c>
      <c r="H232" s="4">
        <f t="shared" si="107"/>
        <v>3.3891814265198663</v>
      </c>
    </row>
    <row r="233" spans="1:10" ht="47.25" x14ac:dyDescent="0.25">
      <c r="A233" s="25" t="s">
        <v>240</v>
      </c>
      <c r="B233" s="20" t="s">
        <v>231</v>
      </c>
      <c r="C233" s="20" t="s">
        <v>235</v>
      </c>
      <c r="D233" s="20" t="s">
        <v>921</v>
      </c>
      <c r="E233" s="20"/>
      <c r="F233" s="6">
        <f t="shared" ref="F233:G234" si="118">F234</f>
        <v>1785</v>
      </c>
      <c r="G233" s="6">
        <f t="shared" si="118"/>
        <v>70.8</v>
      </c>
      <c r="H233" s="6">
        <f t="shared" si="107"/>
        <v>3.9663865546218489</v>
      </c>
    </row>
    <row r="234" spans="1:10" ht="31.5" x14ac:dyDescent="0.25">
      <c r="A234" s="25" t="s">
        <v>214</v>
      </c>
      <c r="B234" s="20" t="s">
        <v>231</v>
      </c>
      <c r="C234" s="20" t="s">
        <v>235</v>
      </c>
      <c r="D234" s="20" t="s">
        <v>921</v>
      </c>
      <c r="E234" s="20" t="s">
        <v>148</v>
      </c>
      <c r="F234" s="6">
        <f t="shared" si="118"/>
        <v>1785</v>
      </c>
      <c r="G234" s="6">
        <f t="shared" si="118"/>
        <v>70.8</v>
      </c>
      <c r="H234" s="6">
        <f t="shared" si="107"/>
        <v>3.9663865546218489</v>
      </c>
    </row>
    <row r="235" spans="1:10" ht="31.5" x14ac:dyDescent="0.25">
      <c r="A235" s="25" t="s">
        <v>149</v>
      </c>
      <c r="B235" s="20" t="s">
        <v>231</v>
      </c>
      <c r="C235" s="20" t="s">
        <v>235</v>
      </c>
      <c r="D235" s="20" t="s">
        <v>921</v>
      </c>
      <c r="E235" s="20" t="s">
        <v>150</v>
      </c>
      <c r="F235" s="311">
        <f>'Пр.4 ведом.20'!G147</f>
        <v>1785</v>
      </c>
      <c r="G235" s="311">
        <f>'Пр.4 ведом.20'!H147</f>
        <v>70.8</v>
      </c>
      <c r="H235" s="6">
        <f t="shared" si="107"/>
        <v>3.9663865546218489</v>
      </c>
    </row>
    <row r="236" spans="1:10" ht="15.75" x14ac:dyDescent="0.25">
      <c r="A236" s="25" t="s">
        <v>246</v>
      </c>
      <c r="B236" s="20" t="s">
        <v>231</v>
      </c>
      <c r="C236" s="20" t="s">
        <v>235</v>
      </c>
      <c r="D236" s="20" t="s">
        <v>922</v>
      </c>
      <c r="E236" s="20"/>
      <c r="F236" s="311">
        <f t="shared" ref="F236:G237" si="119">F237</f>
        <v>304</v>
      </c>
      <c r="G236" s="311">
        <f t="shared" si="119"/>
        <v>0</v>
      </c>
      <c r="H236" s="6">
        <f t="shared" si="107"/>
        <v>0</v>
      </c>
    </row>
    <row r="237" spans="1:10" ht="31.5" x14ac:dyDescent="0.25">
      <c r="A237" s="25" t="s">
        <v>214</v>
      </c>
      <c r="B237" s="20" t="s">
        <v>231</v>
      </c>
      <c r="C237" s="20" t="s">
        <v>235</v>
      </c>
      <c r="D237" s="20" t="s">
        <v>922</v>
      </c>
      <c r="E237" s="20" t="s">
        <v>148</v>
      </c>
      <c r="F237" s="311">
        <f t="shared" si="119"/>
        <v>304</v>
      </c>
      <c r="G237" s="311">
        <f t="shared" si="119"/>
        <v>0</v>
      </c>
      <c r="H237" s="6">
        <f t="shared" si="107"/>
        <v>0</v>
      </c>
    </row>
    <row r="238" spans="1:10" ht="31.5" x14ac:dyDescent="0.25">
      <c r="A238" s="25" t="s">
        <v>149</v>
      </c>
      <c r="B238" s="20" t="s">
        <v>231</v>
      </c>
      <c r="C238" s="20" t="s">
        <v>235</v>
      </c>
      <c r="D238" s="20" t="s">
        <v>922</v>
      </c>
      <c r="E238" s="20" t="s">
        <v>150</v>
      </c>
      <c r="F238" s="311">
        <f>'Пр.4 ведом.20'!G150+'Пр.4 ведом.20'!G910</f>
        <v>304</v>
      </c>
      <c r="G238" s="311">
        <f>'Пр.4 ведом.20'!H150+'Пр.4 ведом.20'!H910</f>
        <v>0</v>
      </c>
      <c r="H238" s="6">
        <f t="shared" si="107"/>
        <v>0</v>
      </c>
    </row>
    <row r="239" spans="1:10" ht="31.5" x14ac:dyDescent="0.25">
      <c r="A239" s="23" t="s">
        <v>996</v>
      </c>
      <c r="B239" s="24" t="s">
        <v>231</v>
      </c>
      <c r="C239" s="24" t="s">
        <v>235</v>
      </c>
      <c r="D239" s="24" t="s">
        <v>918</v>
      </c>
      <c r="E239" s="24"/>
      <c r="F239" s="4">
        <f>F240+F245</f>
        <v>5877.4</v>
      </c>
      <c r="G239" s="4">
        <f t="shared" ref="G239" si="120">G240+G245</f>
        <v>3138.9</v>
      </c>
      <c r="H239" s="4">
        <f t="shared" si="107"/>
        <v>53.406268077721442</v>
      </c>
    </row>
    <row r="240" spans="1:10" ht="31.5" x14ac:dyDescent="0.25">
      <c r="A240" s="25" t="s">
        <v>1000</v>
      </c>
      <c r="B240" s="20" t="s">
        <v>231</v>
      </c>
      <c r="C240" s="20" t="s">
        <v>235</v>
      </c>
      <c r="D240" s="20" t="s">
        <v>919</v>
      </c>
      <c r="E240" s="20"/>
      <c r="F240" s="308">
        <f>F241+F243</f>
        <v>5625.4</v>
      </c>
      <c r="G240" s="308">
        <f t="shared" ref="G240" si="121">G241+G243</f>
        <v>3128.8</v>
      </c>
      <c r="H240" s="6">
        <f t="shared" si="107"/>
        <v>55.619155971130951</v>
      </c>
    </row>
    <row r="241" spans="1:8" ht="78.75" x14ac:dyDescent="0.25">
      <c r="A241" s="25" t="s">
        <v>143</v>
      </c>
      <c r="B241" s="20" t="s">
        <v>231</v>
      </c>
      <c r="C241" s="20" t="s">
        <v>235</v>
      </c>
      <c r="D241" s="20" t="s">
        <v>919</v>
      </c>
      <c r="E241" s="20" t="s">
        <v>144</v>
      </c>
      <c r="F241" s="308">
        <f>'Пр.4 ведом.20'!G154</f>
        <v>5462.4</v>
      </c>
      <c r="G241" s="308">
        <f>'Пр.4 ведом.20'!H154</f>
        <v>3055.8</v>
      </c>
      <c r="H241" s="6">
        <f t="shared" si="107"/>
        <v>55.942442882249566</v>
      </c>
    </row>
    <row r="242" spans="1:8" ht="15.75" x14ac:dyDescent="0.25">
      <c r="A242" s="25" t="s">
        <v>224</v>
      </c>
      <c r="B242" s="20" t="s">
        <v>231</v>
      </c>
      <c r="C242" s="20" t="s">
        <v>235</v>
      </c>
      <c r="D242" s="20" t="s">
        <v>919</v>
      </c>
      <c r="E242" s="20" t="s">
        <v>225</v>
      </c>
      <c r="F242" s="6">
        <f>'Пр.4 ведом.20'!G154</f>
        <v>5462.4</v>
      </c>
      <c r="G242" s="6">
        <f>'Пр.4 ведом.20'!H154</f>
        <v>3055.8</v>
      </c>
      <c r="H242" s="6">
        <f t="shared" si="107"/>
        <v>55.942442882249566</v>
      </c>
    </row>
    <row r="243" spans="1:8" ht="31.5" x14ac:dyDescent="0.25">
      <c r="A243" s="25" t="s">
        <v>214</v>
      </c>
      <c r="B243" s="20" t="s">
        <v>231</v>
      </c>
      <c r="C243" s="20" t="s">
        <v>235</v>
      </c>
      <c r="D243" s="20" t="s">
        <v>919</v>
      </c>
      <c r="E243" s="20" t="s">
        <v>148</v>
      </c>
      <c r="F243" s="6">
        <f>'Пр.4 ведом.20'!G156</f>
        <v>163</v>
      </c>
      <c r="G243" s="6">
        <f>'Пр.4 ведом.20'!H156</f>
        <v>73</v>
      </c>
      <c r="H243" s="6">
        <f t="shared" si="107"/>
        <v>44.785276073619634</v>
      </c>
    </row>
    <row r="244" spans="1:8" ht="31.5" x14ac:dyDescent="0.25">
      <c r="A244" s="25" t="s">
        <v>149</v>
      </c>
      <c r="B244" s="20" t="s">
        <v>231</v>
      </c>
      <c r="C244" s="20" t="s">
        <v>235</v>
      </c>
      <c r="D244" s="20" t="s">
        <v>919</v>
      </c>
      <c r="E244" s="20" t="s">
        <v>150</v>
      </c>
      <c r="F244" s="6">
        <f>'Пр.4 ведом.20'!G156</f>
        <v>163</v>
      </c>
      <c r="G244" s="6">
        <f>'Пр.4 ведом.20'!H156</f>
        <v>73</v>
      </c>
      <c r="H244" s="6">
        <f t="shared" si="107"/>
        <v>44.785276073619634</v>
      </c>
    </row>
    <row r="245" spans="1:8" ht="47.25" x14ac:dyDescent="0.25">
      <c r="A245" s="25" t="s">
        <v>885</v>
      </c>
      <c r="B245" s="20" t="s">
        <v>231</v>
      </c>
      <c r="C245" s="20" t="s">
        <v>235</v>
      </c>
      <c r="D245" s="20" t="s">
        <v>920</v>
      </c>
      <c r="E245" s="20"/>
      <c r="F245" s="6">
        <f t="shared" ref="F245:G246" si="122">F246</f>
        <v>252</v>
      </c>
      <c r="G245" s="6">
        <f t="shared" si="122"/>
        <v>10.1</v>
      </c>
      <c r="H245" s="6">
        <f t="shared" si="107"/>
        <v>4.0079365079365079</v>
      </c>
    </row>
    <row r="246" spans="1:8" ht="78.75" x14ac:dyDescent="0.25">
      <c r="A246" s="25" t="s">
        <v>143</v>
      </c>
      <c r="B246" s="20" t="s">
        <v>231</v>
      </c>
      <c r="C246" s="20" t="s">
        <v>235</v>
      </c>
      <c r="D246" s="20" t="s">
        <v>920</v>
      </c>
      <c r="E246" s="20" t="s">
        <v>144</v>
      </c>
      <c r="F246" s="6">
        <f>F247</f>
        <v>252</v>
      </c>
      <c r="G246" s="6">
        <f t="shared" si="122"/>
        <v>10.1</v>
      </c>
      <c r="H246" s="6">
        <f t="shared" si="107"/>
        <v>4.0079365079365079</v>
      </c>
    </row>
    <row r="247" spans="1:8" s="217" customFormat="1" ht="31.5" x14ac:dyDescent="0.25">
      <c r="A247" s="25" t="s">
        <v>145</v>
      </c>
      <c r="B247" s="20" t="s">
        <v>231</v>
      </c>
      <c r="C247" s="20" t="s">
        <v>235</v>
      </c>
      <c r="D247" s="20" t="s">
        <v>920</v>
      </c>
      <c r="E247" s="20" t="s">
        <v>146</v>
      </c>
      <c r="F247" s="6">
        <f>'Пр.4 ведом.20'!G159</f>
        <v>252</v>
      </c>
      <c r="G247" s="6">
        <f>'Пр.4 ведом.20'!H159</f>
        <v>10.1</v>
      </c>
      <c r="H247" s="6">
        <f t="shared" si="107"/>
        <v>4.0079365079365079</v>
      </c>
    </row>
    <row r="248" spans="1:8" ht="15.75" x14ac:dyDescent="0.25">
      <c r="A248" s="23" t="s">
        <v>248</v>
      </c>
      <c r="B248" s="24" t="s">
        <v>166</v>
      </c>
      <c r="C248" s="24"/>
      <c r="D248" s="24"/>
      <c r="E248" s="20"/>
      <c r="F248" s="4">
        <f t="shared" ref="F248:G248" si="123">F262+F268+F282+F249</f>
        <v>8168.8</v>
      </c>
      <c r="G248" s="4">
        <f t="shared" si="123"/>
        <v>3041.87</v>
      </c>
      <c r="H248" s="4">
        <f t="shared" si="107"/>
        <v>37.237660366271662</v>
      </c>
    </row>
    <row r="249" spans="1:8" ht="15.75" x14ac:dyDescent="0.25">
      <c r="A249" s="23" t="s">
        <v>249</v>
      </c>
      <c r="B249" s="24" t="s">
        <v>166</v>
      </c>
      <c r="C249" s="24" t="s">
        <v>250</v>
      </c>
      <c r="D249" s="24"/>
      <c r="E249" s="20"/>
      <c r="F249" s="4">
        <f>F250</f>
        <v>306</v>
      </c>
      <c r="G249" s="4">
        <f t="shared" ref="G249" si="124">G250</f>
        <v>91</v>
      </c>
      <c r="H249" s="4">
        <f t="shared" si="107"/>
        <v>29.738562091503269</v>
      </c>
    </row>
    <row r="250" spans="1:8" ht="47.25" x14ac:dyDescent="0.25">
      <c r="A250" s="34" t="s">
        <v>197</v>
      </c>
      <c r="B250" s="24" t="s">
        <v>166</v>
      </c>
      <c r="C250" s="24" t="s">
        <v>250</v>
      </c>
      <c r="D250" s="207" t="s">
        <v>198</v>
      </c>
      <c r="E250" s="235"/>
      <c r="F250" s="4">
        <f>F251+F258</f>
        <v>306</v>
      </c>
      <c r="G250" s="4">
        <f t="shared" ref="G250" si="125">G251+G258</f>
        <v>91</v>
      </c>
      <c r="H250" s="4">
        <f t="shared" si="107"/>
        <v>29.738562091503269</v>
      </c>
    </row>
    <row r="251" spans="1:8" ht="31.5" x14ac:dyDescent="0.25">
      <c r="A251" s="34" t="s">
        <v>1159</v>
      </c>
      <c r="B251" s="24" t="s">
        <v>166</v>
      </c>
      <c r="C251" s="24" t="s">
        <v>250</v>
      </c>
      <c r="D251" s="269" t="s">
        <v>923</v>
      </c>
      <c r="E251" s="235"/>
      <c r="F251" s="4">
        <f>F252+F255</f>
        <v>285</v>
      </c>
      <c r="G251" s="4">
        <f t="shared" ref="G251" si="126">G252+G255</f>
        <v>91</v>
      </c>
      <c r="H251" s="4">
        <f t="shared" si="107"/>
        <v>31.929824561403507</v>
      </c>
    </row>
    <row r="252" spans="1:8" ht="15.75" x14ac:dyDescent="0.25">
      <c r="A252" s="25" t="s">
        <v>924</v>
      </c>
      <c r="B252" s="20" t="s">
        <v>166</v>
      </c>
      <c r="C252" s="20" t="s">
        <v>250</v>
      </c>
      <c r="D252" s="20" t="s">
        <v>968</v>
      </c>
      <c r="E252" s="32"/>
      <c r="F252" s="6">
        <f>F253</f>
        <v>30</v>
      </c>
      <c r="G252" s="6">
        <f t="shared" ref="G252:G253" si="127">G253</f>
        <v>9.5</v>
      </c>
      <c r="H252" s="6">
        <f t="shared" si="107"/>
        <v>31.666666666666664</v>
      </c>
    </row>
    <row r="253" spans="1:8" ht="15.75" x14ac:dyDescent="0.25">
      <c r="A253" s="29" t="s">
        <v>151</v>
      </c>
      <c r="B253" s="20" t="s">
        <v>166</v>
      </c>
      <c r="C253" s="20" t="s">
        <v>250</v>
      </c>
      <c r="D253" s="20" t="s">
        <v>968</v>
      </c>
      <c r="E253" s="32" t="s">
        <v>161</v>
      </c>
      <c r="F253" s="6">
        <f>F254</f>
        <v>30</v>
      </c>
      <c r="G253" s="6">
        <f t="shared" si="127"/>
        <v>9.5</v>
      </c>
      <c r="H253" s="6">
        <f t="shared" si="107"/>
        <v>31.666666666666664</v>
      </c>
    </row>
    <row r="254" spans="1:8" ht="47.25" x14ac:dyDescent="0.25">
      <c r="A254" s="29" t="s">
        <v>200</v>
      </c>
      <c r="B254" s="20" t="s">
        <v>166</v>
      </c>
      <c r="C254" s="20" t="s">
        <v>250</v>
      </c>
      <c r="D254" s="20" t="s">
        <v>968</v>
      </c>
      <c r="E254" s="32" t="s">
        <v>176</v>
      </c>
      <c r="F254" s="6">
        <f>'Пр.4 ведом.20'!G166</f>
        <v>30</v>
      </c>
      <c r="G254" s="6">
        <f>'Пр.4 ведом.20'!H166</f>
        <v>9.5</v>
      </c>
      <c r="H254" s="6">
        <f t="shared" si="107"/>
        <v>31.666666666666664</v>
      </c>
    </row>
    <row r="255" spans="1:8" ht="31.5" x14ac:dyDescent="0.25">
      <c r="A255" s="25" t="s">
        <v>251</v>
      </c>
      <c r="B255" s="20" t="s">
        <v>166</v>
      </c>
      <c r="C255" s="20" t="s">
        <v>250</v>
      </c>
      <c r="D255" s="20" t="s">
        <v>927</v>
      </c>
      <c r="E255" s="20"/>
      <c r="F255" s="6">
        <f t="shared" ref="F255:G256" si="128">F256</f>
        <v>255</v>
      </c>
      <c r="G255" s="6">
        <f t="shared" si="128"/>
        <v>81.5</v>
      </c>
      <c r="H255" s="6">
        <f t="shared" si="107"/>
        <v>31.960784313725487</v>
      </c>
    </row>
    <row r="256" spans="1:8" ht="15.75" x14ac:dyDescent="0.25">
      <c r="A256" s="25" t="s">
        <v>151</v>
      </c>
      <c r="B256" s="20" t="s">
        <v>166</v>
      </c>
      <c r="C256" s="20" t="s">
        <v>250</v>
      </c>
      <c r="D256" s="20" t="s">
        <v>927</v>
      </c>
      <c r="E256" s="20" t="s">
        <v>161</v>
      </c>
      <c r="F256" s="6">
        <f>F257</f>
        <v>255</v>
      </c>
      <c r="G256" s="6">
        <f t="shared" si="128"/>
        <v>81.5</v>
      </c>
      <c r="H256" s="6">
        <f t="shared" si="107"/>
        <v>31.960784313725487</v>
      </c>
    </row>
    <row r="257" spans="1:8" ht="47.25" x14ac:dyDescent="0.25">
      <c r="A257" s="25" t="s">
        <v>200</v>
      </c>
      <c r="B257" s="20" t="s">
        <v>166</v>
      </c>
      <c r="C257" s="20" t="s">
        <v>250</v>
      </c>
      <c r="D257" s="20" t="s">
        <v>927</v>
      </c>
      <c r="E257" s="20" t="s">
        <v>176</v>
      </c>
      <c r="F257" s="6">
        <f>'Пр.4 ведом.20'!G169</f>
        <v>255</v>
      </c>
      <c r="G257" s="6">
        <f>'Пр.4 ведом.20'!H169</f>
        <v>81.5</v>
      </c>
      <c r="H257" s="6">
        <f t="shared" si="107"/>
        <v>31.960784313725487</v>
      </c>
    </row>
    <row r="258" spans="1:8" ht="47.25" x14ac:dyDescent="0.25">
      <c r="A258" s="226" t="s">
        <v>1160</v>
      </c>
      <c r="B258" s="24" t="s">
        <v>166</v>
      </c>
      <c r="C258" s="24" t="s">
        <v>250</v>
      </c>
      <c r="D258" s="207" t="s">
        <v>926</v>
      </c>
      <c r="E258" s="235"/>
      <c r="F258" s="4">
        <f>F259</f>
        <v>21</v>
      </c>
      <c r="G258" s="4">
        <f t="shared" ref="G258:G260" si="129">G259</f>
        <v>0</v>
      </c>
      <c r="H258" s="4">
        <f t="shared" si="107"/>
        <v>0</v>
      </c>
    </row>
    <row r="259" spans="1:8" s="217" customFormat="1" ht="15.75" x14ac:dyDescent="0.25">
      <c r="A259" s="25" t="s">
        <v>925</v>
      </c>
      <c r="B259" s="20" t="s">
        <v>166</v>
      </c>
      <c r="C259" s="20" t="s">
        <v>250</v>
      </c>
      <c r="D259" s="5" t="s">
        <v>969</v>
      </c>
      <c r="E259" s="32"/>
      <c r="F259" s="6">
        <f>F260</f>
        <v>21</v>
      </c>
      <c r="G259" s="6">
        <f t="shared" si="129"/>
        <v>0</v>
      </c>
      <c r="H259" s="6">
        <f t="shared" si="107"/>
        <v>0</v>
      </c>
    </row>
    <row r="260" spans="1:8" s="217" customFormat="1" ht="15.75" x14ac:dyDescent="0.25">
      <c r="A260" s="29" t="s">
        <v>151</v>
      </c>
      <c r="B260" s="20" t="s">
        <v>166</v>
      </c>
      <c r="C260" s="20" t="s">
        <v>250</v>
      </c>
      <c r="D260" s="5" t="s">
        <v>969</v>
      </c>
      <c r="E260" s="32" t="s">
        <v>161</v>
      </c>
      <c r="F260" s="6">
        <f>F261</f>
        <v>21</v>
      </c>
      <c r="G260" s="6">
        <f t="shared" si="129"/>
        <v>0</v>
      </c>
      <c r="H260" s="6">
        <f t="shared" si="107"/>
        <v>0</v>
      </c>
    </row>
    <row r="261" spans="1:8" s="217" customFormat="1" ht="47.25" x14ac:dyDescent="0.25">
      <c r="A261" s="29" t="s">
        <v>200</v>
      </c>
      <c r="B261" s="20" t="s">
        <v>166</v>
      </c>
      <c r="C261" s="20" t="s">
        <v>250</v>
      </c>
      <c r="D261" s="5" t="s">
        <v>969</v>
      </c>
      <c r="E261" s="32" t="s">
        <v>176</v>
      </c>
      <c r="F261" s="6">
        <f>'Пр.4 ведом.20'!G173</f>
        <v>21</v>
      </c>
      <c r="G261" s="6">
        <f>'Пр.4 ведом.20'!H173</f>
        <v>0</v>
      </c>
      <c r="H261" s="6">
        <f t="shared" si="107"/>
        <v>0</v>
      </c>
    </row>
    <row r="262" spans="1:8" ht="15.75" x14ac:dyDescent="0.25">
      <c r="A262" s="23" t="s">
        <v>521</v>
      </c>
      <c r="B262" s="24" t="s">
        <v>166</v>
      </c>
      <c r="C262" s="24" t="s">
        <v>315</v>
      </c>
      <c r="D262" s="24"/>
      <c r="E262" s="24"/>
      <c r="F262" s="4">
        <f t="shared" ref="F262:G266" si="130">F263</f>
        <v>3258</v>
      </c>
      <c r="G262" s="4">
        <f t="shared" si="130"/>
        <v>1304.5999999999999</v>
      </c>
      <c r="H262" s="4">
        <f t="shared" si="107"/>
        <v>40.042971147943526</v>
      </c>
    </row>
    <row r="263" spans="1:8" ht="15.75" x14ac:dyDescent="0.25">
      <c r="A263" s="23" t="s">
        <v>157</v>
      </c>
      <c r="B263" s="24" t="s">
        <v>166</v>
      </c>
      <c r="C263" s="24" t="s">
        <v>315</v>
      </c>
      <c r="D263" s="24" t="s">
        <v>912</v>
      </c>
      <c r="E263" s="24"/>
      <c r="F263" s="4">
        <f t="shared" si="130"/>
        <v>3258</v>
      </c>
      <c r="G263" s="4">
        <f t="shared" si="130"/>
        <v>1304.5999999999999</v>
      </c>
      <c r="H263" s="4">
        <f t="shared" si="107"/>
        <v>40.042971147943526</v>
      </c>
    </row>
    <row r="264" spans="1:8" ht="31.5" x14ac:dyDescent="0.25">
      <c r="A264" s="23" t="s">
        <v>916</v>
      </c>
      <c r="B264" s="24" t="s">
        <v>166</v>
      </c>
      <c r="C264" s="24" t="s">
        <v>315</v>
      </c>
      <c r="D264" s="24" t="s">
        <v>911</v>
      </c>
      <c r="E264" s="24"/>
      <c r="F264" s="4">
        <f t="shared" si="130"/>
        <v>3258</v>
      </c>
      <c r="G264" s="4">
        <f t="shared" si="130"/>
        <v>1304.5999999999999</v>
      </c>
      <c r="H264" s="4">
        <f t="shared" si="107"/>
        <v>40.042971147943526</v>
      </c>
    </row>
    <row r="265" spans="1:8" ht="17.45" customHeight="1" x14ac:dyDescent="0.25">
      <c r="A265" s="25" t="s">
        <v>522</v>
      </c>
      <c r="B265" s="20" t="s">
        <v>166</v>
      </c>
      <c r="C265" s="20" t="s">
        <v>315</v>
      </c>
      <c r="D265" s="20" t="s">
        <v>1093</v>
      </c>
      <c r="E265" s="20"/>
      <c r="F265" s="6">
        <f t="shared" si="130"/>
        <v>3258</v>
      </c>
      <c r="G265" s="6">
        <f t="shared" si="130"/>
        <v>1304.5999999999999</v>
      </c>
      <c r="H265" s="6">
        <f t="shared" si="107"/>
        <v>40.042971147943526</v>
      </c>
    </row>
    <row r="266" spans="1:8" ht="34.5" customHeight="1" x14ac:dyDescent="0.25">
      <c r="A266" s="25" t="s">
        <v>147</v>
      </c>
      <c r="B266" s="20" t="s">
        <v>166</v>
      </c>
      <c r="C266" s="20" t="s">
        <v>315</v>
      </c>
      <c r="D266" s="20" t="s">
        <v>1093</v>
      </c>
      <c r="E266" s="20" t="s">
        <v>148</v>
      </c>
      <c r="F266" s="6">
        <f t="shared" si="130"/>
        <v>3258</v>
      </c>
      <c r="G266" s="6">
        <f t="shared" si="130"/>
        <v>1304.5999999999999</v>
      </c>
      <c r="H266" s="6">
        <f t="shared" si="107"/>
        <v>40.042971147943526</v>
      </c>
    </row>
    <row r="267" spans="1:8" ht="38.25" customHeight="1" x14ac:dyDescent="0.25">
      <c r="A267" s="25" t="s">
        <v>149</v>
      </c>
      <c r="B267" s="20" t="s">
        <v>166</v>
      </c>
      <c r="C267" s="20" t="s">
        <v>315</v>
      </c>
      <c r="D267" s="20" t="s">
        <v>1093</v>
      </c>
      <c r="E267" s="20" t="s">
        <v>150</v>
      </c>
      <c r="F267" s="308">
        <f>'Пр.4 ведом.20'!G917</f>
        <v>3258</v>
      </c>
      <c r="G267" s="308">
        <f>'Пр.4 ведом.20'!H917</f>
        <v>1304.5999999999999</v>
      </c>
      <c r="H267" s="6">
        <f t="shared" ref="H267:H330" si="131">G267/F267*100</f>
        <v>40.042971147943526</v>
      </c>
    </row>
    <row r="268" spans="1:8" ht="15.75" x14ac:dyDescent="0.25">
      <c r="A268" s="23" t="s">
        <v>524</v>
      </c>
      <c r="B268" s="24" t="s">
        <v>166</v>
      </c>
      <c r="C268" s="24" t="s">
        <v>235</v>
      </c>
      <c r="D268" s="20"/>
      <c r="E268" s="24"/>
      <c r="F268" s="4">
        <f t="shared" ref="F268:G268" si="132">F269</f>
        <v>3446</v>
      </c>
      <c r="G268" s="4">
        <f t="shared" si="132"/>
        <v>1556.37</v>
      </c>
      <c r="H268" s="4">
        <f t="shared" si="131"/>
        <v>45.164538595473012</v>
      </c>
    </row>
    <row r="269" spans="1:8" ht="47.25" x14ac:dyDescent="0.25">
      <c r="A269" s="34" t="s">
        <v>1180</v>
      </c>
      <c r="B269" s="24" t="s">
        <v>166</v>
      </c>
      <c r="C269" s="24" t="s">
        <v>235</v>
      </c>
      <c r="D269" s="24" t="s">
        <v>526</v>
      </c>
      <c r="E269" s="24"/>
      <c r="F269" s="59">
        <f>F270+F274</f>
        <v>3446</v>
      </c>
      <c r="G269" s="347">
        <f t="shared" ref="G269" si="133">G270+G274</f>
        <v>1556.37</v>
      </c>
      <c r="H269" s="4">
        <f t="shared" si="131"/>
        <v>45.164538595473012</v>
      </c>
    </row>
    <row r="270" spans="1:8" ht="31.5" hidden="1" x14ac:dyDescent="0.25">
      <c r="A270" s="34" t="s">
        <v>1150</v>
      </c>
      <c r="B270" s="24" t="s">
        <v>166</v>
      </c>
      <c r="C270" s="24" t="s">
        <v>235</v>
      </c>
      <c r="D270" s="7" t="s">
        <v>1094</v>
      </c>
      <c r="E270" s="24"/>
      <c r="F270" s="59">
        <f>F271</f>
        <v>0</v>
      </c>
      <c r="G270" s="347">
        <f t="shared" ref="G270:G272" si="134">G271</f>
        <v>0</v>
      </c>
      <c r="H270" s="4" t="e">
        <f t="shared" si="131"/>
        <v>#DIV/0!</v>
      </c>
    </row>
    <row r="271" spans="1:8" ht="15.75" hidden="1" x14ac:dyDescent="0.25">
      <c r="A271" s="29" t="s">
        <v>1152</v>
      </c>
      <c r="B271" s="20" t="s">
        <v>166</v>
      </c>
      <c r="C271" s="20" t="s">
        <v>235</v>
      </c>
      <c r="D271" s="40" t="s">
        <v>1151</v>
      </c>
      <c r="E271" s="20"/>
      <c r="F271" s="10">
        <f>F272</f>
        <v>0</v>
      </c>
      <c r="G271" s="335">
        <f t="shared" si="134"/>
        <v>0</v>
      </c>
      <c r="H271" s="4" t="e">
        <f t="shared" si="131"/>
        <v>#DIV/0!</v>
      </c>
    </row>
    <row r="272" spans="1:8" ht="31.5" hidden="1" x14ac:dyDescent="0.25">
      <c r="A272" s="25" t="s">
        <v>147</v>
      </c>
      <c r="B272" s="20" t="s">
        <v>166</v>
      </c>
      <c r="C272" s="20" t="s">
        <v>235</v>
      </c>
      <c r="D272" s="40" t="s">
        <v>1151</v>
      </c>
      <c r="E272" s="20" t="s">
        <v>148</v>
      </c>
      <c r="F272" s="308">
        <f>F273</f>
        <v>0</v>
      </c>
      <c r="G272" s="308">
        <f t="shared" si="134"/>
        <v>0</v>
      </c>
      <c r="H272" s="4" t="e">
        <f t="shared" si="131"/>
        <v>#DIV/0!</v>
      </c>
    </row>
    <row r="273" spans="1:8" ht="31.5" hidden="1" x14ac:dyDescent="0.25">
      <c r="A273" s="25" t="s">
        <v>149</v>
      </c>
      <c r="B273" s="20" t="s">
        <v>166</v>
      </c>
      <c r="C273" s="20" t="s">
        <v>235</v>
      </c>
      <c r="D273" s="40" t="s">
        <v>1151</v>
      </c>
      <c r="E273" s="20" t="s">
        <v>150</v>
      </c>
      <c r="F273" s="308">
        <f>'Пр.4 ведом.20'!G923</f>
        <v>0</v>
      </c>
      <c r="G273" s="308">
        <f>'Пр.4 ведом.20'!H923</f>
        <v>0</v>
      </c>
      <c r="H273" s="4" t="e">
        <f t="shared" si="131"/>
        <v>#DIV/0!</v>
      </c>
    </row>
    <row r="274" spans="1:8" ht="31.5" x14ac:dyDescent="0.25">
      <c r="A274" s="34" t="s">
        <v>1237</v>
      </c>
      <c r="B274" s="24" t="s">
        <v>166</v>
      </c>
      <c r="C274" s="24" t="s">
        <v>235</v>
      </c>
      <c r="D274" s="24" t="s">
        <v>1095</v>
      </c>
      <c r="E274" s="24"/>
      <c r="F274" s="310">
        <f>F275</f>
        <v>3446</v>
      </c>
      <c r="G274" s="310">
        <f t="shared" ref="G274" si="135">G275</f>
        <v>1556.37</v>
      </c>
      <c r="H274" s="4">
        <f t="shared" si="131"/>
        <v>45.164538595473012</v>
      </c>
    </row>
    <row r="275" spans="1:8" s="217" customFormat="1" ht="15.75" x14ac:dyDescent="0.25">
      <c r="A275" s="29" t="s">
        <v>527</v>
      </c>
      <c r="B275" s="20" t="s">
        <v>166</v>
      </c>
      <c r="C275" s="20" t="s">
        <v>235</v>
      </c>
      <c r="D275" s="40" t="s">
        <v>1153</v>
      </c>
      <c r="E275" s="20"/>
      <c r="F275" s="308">
        <f>F278+F280+F276</f>
        <v>3446</v>
      </c>
      <c r="G275" s="308">
        <f t="shared" ref="G275" si="136">G278+G280+G276</f>
        <v>1556.37</v>
      </c>
      <c r="H275" s="6">
        <f t="shared" si="131"/>
        <v>45.164538595473012</v>
      </c>
    </row>
    <row r="276" spans="1:8" s="217" customFormat="1" ht="78.75" x14ac:dyDescent="0.25">
      <c r="A276" s="25" t="s">
        <v>143</v>
      </c>
      <c r="B276" s="20" t="s">
        <v>166</v>
      </c>
      <c r="C276" s="20" t="s">
        <v>235</v>
      </c>
      <c r="D276" s="40" t="s">
        <v>1153</v>
      </c>
      <c r="E276" s="20" t="s">
        <v>144</v>
      </c>
      <c r="F276" s="308">
        <f>F277</f>
        <v>1791.3</v>
      </c>
      <c r="G276" s="308">
        <f t="shared" ref="G276" si="137">G277</f>
        <v>1035.94</v>
      </c>
      <c r="H276" s="6">
        <f t="shared" si="131"/>
        <v>57.83174231005416</v>
      </c>
    </row>
    <row r="277" spans="1:8" s="217" customFormat="1" ht="15.75" x14ac:dyDescent="0.25">
      <c r="A277" s="25" t="s">
        <v>224</v>
      </c>
      <c r="B277" s="20" t="s">
        <v>166</v>
      </c>
      <c r="C277" s="20" t="s">
        <v>235</v>
      </c>
      <c r="D277" s="40" t="s">
        <v>1153</v>
      </c>
      <c r="E277" s="20" t="s">
        <v>225</v>
      </c>
      <c r="F277" s="308">
        <f>'Пр.4 ведом.20'!G927</f>
        <v>1791.3</v>
      </c>
      <c r="G277" s="308">
        <f>'Пр.4 ведом.20'!H927</f>
        <v>1035.94</v>
      </c>
      <c r="H277" s="6">
        <f t="shared" si="131"/>
        <v>57.83174231005416</v>
      </c>
    </row>
    <row r="278" spans="1:8" s="217" customFormat="1" ht="31.5" x14ac:dyDescent="0.25">
      <c r="A278" s="25" t="s">
        <v>147</v>
      </c>
      <c r="B278" s="20" t="s">
        <v>166</v>
      </c>
      <c r="C278" s="20" t="s">
        <v>235</v>
      </c>
      <c r="D278" s="40" t="s">
        <v>1153</v>
      </c>
      <c r="E278" s="20" t="s">
        <v>148</v>
      </c>
      <c r="F278" s="308">
        <f>F279</f>
        <v>1654.7</v>
      </c>
      <c r="G278" s="308">
        <f t="shared" ref="G278" si="138">G279</f>
        <v>520.42999999999995</v>
      </c>
      <c r="H278" s="6">
        <f t="shared" si="131"/>
        <v>31.451622650631535</v>
      </c>
    </row>
    <row r="279" spans="1:8" s="217" customFormat="1" ht="35.450000000000003" customHeight="1" x14ac:dyDescent="0.25">
      <c r="A279" s="25" t="s">
        <v>149</v>
      </c>
      <c r="B279" s="20" t="s">
        <v>166</v>
      </c>
      <c r="C279" s="20" t="s">
        <v>235</v>
      </c>
      <c r="D279" s="40" t="s">
        <v>1153</v>
      </c>
      <c r="E279" s="20" t="s">
        <v>150</v>
      </c>
      <c r="F279" s="308">
        <f>'Пр.4 ведом.20'!G929</f>
        <v>1654.7</v>
      </c>
      <c r="G279" s="308">
        <f>'Пр.4 ведом.20'!H929</f>
        <v>520.42999999999995</v>
      </c>
      <c r="H279" s="6">
        <f t="shared" si="131"/>
        <v>31.451622650631535</v>
      </c>
    </row>
    <row r="280" spans="1:8" s="217" customFormat="1" ht="15.75" x14ac:dyDescent="0.25">
      <c r="A280" s="25" t="s">
        <v>151</v>
      </c>
      <c r="B280" s="20" t="s">
        <v>166</v>
      </c>
      <c r="C280" s="20" t="s">
        <v>235</v>
      </c>
      <c r="D280" s="40" t="s">
        <v>1153</v>
      </c>
      <c r="E280" s="20" t="s">
        <v>161</v>
      </c>
      <c r="F280" s="308">
        <f>F281</f>
        <v>0</v>
      </c>
      <c r="G280" s="308">
        <f t="shared" ref="G280" si="139">G281</f>
        <v>0</v>
      </c>
      <c r="H280" s="6" t="e">
        <f t="shared" si="131"/>
        <v>#DIV/0!</v>
      </c>
    </row>
    <row r="281" spans="1:8" s="217" customFormat="1" ht="15.75" x14ac:dyDescent="0.25">
      <c r="A281" s="25" t="s">
        <v>584</v>
      </c>
      <c r="B281" s="20" t="s">
        <v>166</v>
      </c>
      <c r="C281" s="20" t="s">
        <v>235</v>
      </c>
      <c r="D281" s="40" t="s">
        <v>1153</v>
      </c>
      <c r="E281" s="20" t="s">
        <v>154</v>
      </c>
      <c r="F281" s="308">
        <f>'Пр.4 ведом.20'!G931</f>
        <v>0</v>
      </c>
      <c r="G281" s="308">
        <f>'Пр.4 ведом.20'!H931</f>
        <v>0</v>
      </c>
      <c r="H281" s="6" t="e">
        <f t="shared" si="131"/>
        <v>#DIV/0!</v>
      </c>
    </row>
    <row r="282" spans="1:8" ht="22.7" customHeight="1" x14ac:dyDescent="0.25">
      <c r="A282" s="23" t="s">
        <v>253</v>
      </c>
      <c r="B282" s="24" t="s">
        <v>166</v>
      </c>
      <c r="C282" s="24" t="s">
        <v>254</v>
      </c>
      <c r="D282" s="24"/>
      <c r="E282" s="24"/>
      <c r="F282" s="59">
        <f>F283+F295+F322+F290</f>
        <v>1158.8</v>
      </c>
      <c r="G282" s="347">
        <f t="shared" ref="G282" si="140">G283+G295+G322+G290</f>
        <v>89.9</v>
      </c>
      <c r="H282" s="4">
        <f t="shared" si="131"/>
        <v>7.7580255436658625</v>
      </c>
    </row>
    <row r="283" spans="1:8" ht="31.5" x14ac:dyDescent="0.25">
      <c r="A283" s="23" t="s">
        <v>990</v>
      </c>
      <c r="B283" s="24" t="s">
        <v>166</v>
      </c>
      <c r="C283" s="24" t="s">
        <v>254</v>
      </c>
      <c r="D283" s="24" t="s">
        <v>904</v>
      </c>
      <c r="E283" s="24"/>
      <c r="F283" s="59">
        <f>F284</f>
        <v>288.8</v>
      </c>
      <c r="G283" s="347">
        <f t="shared" ref="G283:G284" si="141">G284</f>
        <v>89.9</v>
      </c>
      <c r="H283" s="4">
        <f t="shared" si="131"/>
        <v>31.128808864265928</v>
      </c>
    </row>
    <row r="284" spans="1:8" ht="31.5" x14ac:dyDescent="0.25">
      <c r="A284" s="23" t="s">
        <v>932</v>
      </c>
      <c r="B284" s="24" t="s">
        <v>166</v>
      </c>
      <c r="C284" s="24" t="s">
        <v>254</v>
      </c>
      <c r="D284" s="24" t="s">
        <v>909</v>
      </c>
      <c r="E284" s="24"/>
      <c r="F284" s="59">
        <f>F285</f>
        <v>288.8</v>
      </c>
      <c r="G284" s="347">
        <f t="shared" si="141"/>
        <v>89.9</v>
      </c>
      <c r="H284" s="4">
        <f t="shared" si="131"/>
        <v>31.128808864265928</v>
      </c>
    </row>
    <row r="285" spans="1:8" ht="63" x14ac:dyDescent="0.25">
      <c r="A285" s="31" t="s">
        <v>257</v>
      </c>
      <c r="B285" s="20" t="s">
        <v>166</v>
      </c>
      <c r="C285" s="20" t="s">
        <v>254</v>
      </c>
      <c r="D285" s="20" t="s">
        <v>997</v>
      </c>
      <c r="E285" s="20"/>
      <c r="F285" s="10">
        <f>F286+F288</f>
        <v>288.8</v>
      </c>
      <c r="G285" s="335">
        <f t="shared" ref="G285" si="142">G286+G288</f>
        <v>89.9</v>
      </c>
      <c r="H285" s="6">
        <f t="shared" si="131"/>
        <v>31.128808864265928</v>
      </c>
    </row>
    <row r="286" spans="1:8" ht="78.75" x14ac:dyDescent="0.25">
      <c r="A286" s="25" t="s">
        <v>143</v>
      </c>
      <c r="B286" s="20" t="s">
        <v>166</v>
      </c>
      <c r="C286" s="20" t="s">
        <v>254</v>
      </c>
      <c r="D286" s="20" t="s">
        <v>997</v>
      </c>
      <c r="E286" s="20" t="s">
        <v>144</v>
      </c>
      <c r="F286" s="10">
        <f>F287</f>
        <v>187</v>
      </c>
      <c r="G286" s="335">
        <f t="shared" ref="G286" si="143">G287</f>
        <v>89.9</v>
      </c>
      <c r="H286" s="6">
        <f t="shared" si="131"/>
        <v>48.074866310160431</v>
      </c>
    </row>
    <row r="287" spans="1:8" ht="32.25" customHeight="1" x14ac:dyDescent="0.25">
      <c r="A287" s="25" t="s">
        <v>145</v>
      </c>
      <c r="B287" s="20" t="s">
        <v>166</v>
      </c>
      <c r="C287" s="20" t="s">
        <v>254</v>
      </c>
      <c r="D287" s="20" t="s">
        <v>997</v>
      </c>
      <c r="E287" s="20" t="s">
        <v>146</v>
      </c>
      <c r="F287" s="10">
        <f>'Пр.4 ведом.20'!G179</f>
        <v>187</v>
      </c>
      <c r="G287" s="335">
        <f>'Пр.4 ведом.20'!H179</f>
        <v>89.9</v>
      </c>
      <c r="H287" s="6">
        <f t="shared" si="131"/>
        <v>48.074866310160431</v>
      </c>
    </row>
    <row r="288" spans="1:8" ht="31.5" x14ac:dyDescent="0.25">
      <c r="A288" s="25" t="s">
        <v>147</v>
      </c>
      <c r="B288" s="20" t="s">
        <v>166</v>
      </c>
      <c r="C288" s="20" t="s">
        <v>254</v>
      </c>
      <c r="D288" s="20" t="s">
        <v>997</v>
      </c>
      <c r="E288" s="20" t="s">
        <v>148</v>
      </c>
      <c r="F288" s="10">
        <f>F289</f>
        <v>101.8</v>
      </c>
      <c r="G288" s="335">
        <f t="shared" ref="G288" si="144">G289</f>
        <v>0</v>
      </c>
      <c r="H288" s="6">
        <f t="shared" si="131"/>
        <v>0</v>
      </c>
    </row>
    <row r="289" spans="1:8" ht="31.5" x14ac:dyDescent="0.25">
      <c r="A289" s="25" t="s">
        <v>149</v>
      </c>
      <c r="B289" s="20" t="s">
        <v>166</v>
      </c>
      <c r="C289" s="20" t="s">
        <v>254</v>
      </c>
      <c r="D289" s="20" t="s">
        <v>997</v>
      </c>
      <c r="E289" s="20" t="s">
        <v>150</v>
      </c>
      <c r="F289" s="10">
        <f>'Пр.4 ведом.20'!G181</f>
        <v>101.8</v>
      </c>
      <c r="G289" s="335">
        <f>'Пр.4 ведом.20'!H181</f>
        <v>0</v>
      </c>
      <c r="H289" s="6">
        <f t="shared" si="131"/>
        <v>0</v>
      </c>
    </row>
    <row r="290" spans="1:8" s="331" customFormat="1" ht="15.75" x14ac:dyDescent="0.25">
      <c r="A290" s="340" t="s">
        <v>157</v>
      </c>
      <c r="B290" s="341" t="s">
        <v>166</v>
      </c>
      <c r="C290" s="341" t="s">
        <v>254</v>
      </c>
      <c r="D290" s="341" t="s">
        <v>912</v>
      </c>
      <c r="E290" s="338"/>
      <c r="F290" s="347">
        <f>F291</f>
        <v>350</v>
      </c>
      <c r="G290" s="347">
        <f t="shared" ref="G290:G293" si="145">G291</f>
        <v>0</v>
      </c>
      <c r="H290" s="4">
        <f t="shared" si="131"/>
        <v>0</v>
      </c>
    </row>
    <row r="291" spans="1:8" s="331" customFormat="1" ht="31.5" x14ac:dyDescent="0.25">
      <c r="A291" s="340" t="s">
        <v>916</v>
      </c>
      <c r="B291" s="341" t="s">
        <v>166</v>
      </c>
      <c r="C291" s="341" t="s">
        <v>254</v>
      </c>
      <c r="D291" s="341" t="s">
        <v>911</v>
      </c>
      <c r="E291" s="338"/>
      <c r="F291" s="347">
        <f>F292</f>
        <v>350</v>
      </c>
      <c r="G291" s="347">
        <f t="shared" si="145"/>
        <v>0</v>
      </c>
      <c r="H291" s="4">
        <f t="shared" si="131"/>
        <v>0</v>
      </c>
    </row>
    <row r="292" spans="1:8" s="331" customFormat="1" ht="31.5" x14ac:dyDescent="0.25">
      <c r="A292" s="342" t="s">
        <v>1512</v>
      </c>
      <c r="B292" s="338" t="s">
        <v>166</v>
      </c>
      <c r="C292" s="338" t="s">
        <v>254</v>
      </c>
      <c r="D292" s="338" t="s">
        <v>1513</v>
      </c>
      <c r="E292" s="338"/>
      <c r="F292" s="335">
        <f>F293</f>
        <v>350</v>
      </c>
      <c r="G292" s="335">
        <f t="shared" si="145"/>
        <v>0</v>
      </c>
      <c r="H292" s="6">
        <f t="shared" si="131"/>
        <v>0</v>
      </c>
    </row>
    <row r="293" spans="1:8" s="331" customFormat="1" ht="31.5" x14ac:dyDescent="0.25">
      <c r="A293" s="342" t="s">
        <v>147</v>
      </c>
      <c r="B293" s="338" t="s">
        <v>166</v>
      </c>
      <c r="C293" s="338" t="s">
        <v>254</v>
      </c>
      <c r="D293" s="338" t="s">
        <v>1513</v>
      </c>
      <c r="E293" s="338" t="s">
        <v>148</v>
      </c>
      <c r="F293" s="335">
        <f>F294</f>
        <v>350</v>
      </c>
      <c r="G293" s="335">
        <f t="shared" si="145"/>
        <v>0</v>
      </c>
      <c r="H293" s="6">
        <f t="shared" si="131"/>
        <v>0</v>
      </c>
    </row>
    <row r="294" spans="1:8" s="332" customFormat="1" ht="31.5" x14ac:dyDescent="0.25">
      <c r="A294" s="342" t="s">
        <v>149</v>
      </c>
      <c r="B294" s="338" t="s">
        <v>166</v>
      </c>
      <c r="C294" s="338" t="s">
        <v>254</v>
      </c>
      <c r="D294" s="338" t="s">
        <v>1513</v>
      </c>
      <c r="E294" s="338" t="s">
        <v>150</v>
      </c>
      <c r="F294" s="335">
        <f>'Пр.4 ведом.20'!G937</f>
        <v>350</v>
      </c>
      <c r="G294" s="335">
        <f>'Пр.4 ведом.20'!H937</f>
        <v>0</v>
      </c>
      <c r="H294" s="6">
        <f t="shared" si="131"/>
        <v>0</v>
      </c>
    </row>
    <row r="295" spans="1:8" s="217" customFormat="1" ht="47.25" x14ac:dyDescent="0.25">
      <c r="A295" s="23" t="s">
        <v>359</v>
      </c>
      <c r="B295" s="24" t="s">
        <v>166</v>
      </c>
      <c r="C295" s="24" t="s">
        <v>254</v>
      </c>
      <c r="D295" s="24" t="s">
        <v>360</v>
      </c>
      <c r="E295" s="235"/>
      <c r="F295" s="59">
        <f>F296</f>
        <v>270</v>
      </c>
      <c r="G295" s="347">
        <f t="shared" ref="G295" si="146">G296</f>
        <v>0</v>
      </c>
      <c r="H295" s="4">
        <f t="shared" si="131"/>
        <v>0</v>
      </c>
    </row>
    <row r="296" spans="1:8" s="217" customFormat="1" ht="63" x14ac:dyDescent="0.25">
      <c r="A296" s="23" t="s">
        <v>383</v>
      </c>
      <c r="B296" s="24" t="s">
        <v>166</v>
      </c>
      <c r="C296" s="24" t="s">
        <v>254</v>
      </c>
      <c r="D296" s="24" t="s">
        <v>384</v>
      </c>
      <c r="E296" s="24"/>
      <c r="F296" s="59">
        <f>F297+F304+F311+F318</f>
        <v>270</v>
      </c>
      <c r="G296" s="347">
        <f t="shared" ref="G296" si="147">G297+G304+G311+G318</f>
        <v>0</v>
      </c>
      <c r="H296" s="4">
        <f t="shared" si="131"/>
        <v>0</v>
      </c>
    </row>
    <row r="297" spans="1:8" s="217" customFormat="1" ht="47.25" hidden="1" x14ac:dyDescent="0.25">
      <c r="A297" s="227" t="s">
        <v>1211</v>
      </c>
      <c r="B297" s="24" t="s">
        <v>166</v>
      </c>
      <c r="C297" s="24" t="s">
        <v>254</v>
      </c>
      <c r="D297" s="24" t="s">
        <v>937</v>
      </c>
      <c r="E297" s="24"/>
      <c r="F297" s="59">
        <f>F298+F301</f>
        <v>0</v>
      </c>
      <c r="G297" s="347">
        <f t="shared" ref="G297" si="148">G298+G301</f>
        <v>0</v>
      </c>
      <c r="H297" s="4" t="e">
        <f t="shared" si="131"/>
        <v>#DIV/0!</v>
      </c>
    </row>
    <row r="298" spans="1:8" s="217" customFormat="1" ht="47.25" hidden="1" x14ac:dyDescent="0.25">
      <c r="A298" s="25" t="s">
        <v>391</v>
      </c>
      <c r="B298" s="20" t="s">
        <v>166</v>
      </c>
      <c r="C298" s="20" t="s">
        <v>254</v>
      </c>
      <c r="D298" s="20" t="s">
        <v>1212</v>
      </c>
      <c r="E298" s="20"/>
      <c r="F298" s="10">
        <f>F299</f>
        <v>0</v>
      </c>
      <c r="G298" s="335">
        <f t="shared" ref="G298:G299" si="149">G299</f>
        <v>0</v>
      </c>
      <c r="H298" s="4" t="e">
        <f t="shared" si="131"/>
        <v>#DIV/0!</v>
      </c>
    </row>
    <row r="299" spans="1:8" s="217" customFormat="1" ht="21.2" hidden="1" customHeight="1" x14ac:dyDescent="0.25">
      <c r="A299" s="25" t="s">
        <v>264</v>
      </c>
      <c r="B299" s="20" t="s">
        <v>166</v>
      </c>
      <c r="C299" s="20" t="s">
        <v>254</v>
      </c>
      <c r="D299" s="20" t="s">
        <v>1212</v>
      </c>
      <c r="E299" s="20" t="s">
        <v>265</v>
      </c>
      <c r="F299" s="10">
        <f>F300</f>
        <v>0</v>
      </c>
      <c r="G299" s="335">
        <f t="shared" si="149"/>
        <v>0</v>
      </c>
      <c r="H299" s="4" t="e">
        <f t="shared" si="131"/>
        <v>#DIV/0!</v>
      </c>
    </row>
    <row r="300" spans="1:8" s="217" customFormat="1" ht="31.5" hidden="1" x14ac:dyDescent="0.25">
      <c r="A300" s="25" t="s">
        <v>266</v>
      </c>
      <c r="B300" s="20" t="s">
        <v>166</v>
      </c>
      <c r="C300" s="20" t="s">
        <v>254</v>
      </c>
      <c r="D300" s="20" t="s">
        <v>1212</v>
      </c>
      <c r="E300" s="20" t="s">
        <v>267</v>
      </c>
      <c r="F300" s="10">
        <f>'Пр.4 ведом.20'!G252</f>
        <v>0</v>
      </c>
      <c r="G300" s="335">
        <f>'Пр.4 ведом.20'!H252</f>
        <v>0</v>
      </c>
      <c r="H300" s="4" t="e">
        <f t="shared" si="131"/>
        <v>#DIV/0!</v>
      </c>
    </row>
    <row r="301" spans="1:8" s="217" customFormat="1" ht="47.25" hidden="1" x14ac:dyDescent="0.25">
      <c r="A301" s="25" t="s">
        <v>391</v>
      </c>
      <c r="B301" s="20" t="s">
        <v>166</v>
      </c>
      <c r="C301" s="20" t="s">
        <v>254</v>
      </c>
      <c r="D301" s="20" t="s">
        <v>1213</v>
      </c>
      <c r="E301" s="20"/>
      <c r="F301" s="10">
        <f>F302</f>
        <v>0</v>
      </c>
      <c r="G301" s="335">
        <f t="shared" ref="G301:G302" si="150">G302</f>
        <v>0</v>
      </c>
      <c r="H301" s="4" t="e">
        <f t="shared" si="131"/>
        <v>#DIV/0!</v>
      </c>
    </row>
    <row r="302" spans="1:8" s="217" customFormat="1" ht="18.75" hidden="1" customHeight="1" x14ac:dyDescent="0.25">
      <c r="A302" s="25" t="s">
        <v>264</v>
      </c>
      <c r="B302" s="20" t="s">
        <v>166</v>
      </c>
      <c r="C302" s="20" t="s">
        <v>254</v>
      </c>
      <c r="D302" s="20" t="s">
        <v>1213</v>
      </c>
      <c r="E302" s="20" t="s">
        <v>265</v>
      </c>
      <c r="F302" s="10">
        <f>F303</f>
        <v>0</v>
      </c>
      <c r="G302" s="335">
        <f t="shared" si="150"/>
        <v>0</v>
      </c>
      <c r="H302" s="4" t="e">
        <f t="shared" si="131"/>
        <v>#DIV/0!</v>
      </c>
    </row>
    <row r="303" spans="1:8" s="217" customFormat="1" ht="31.5" hidden="1" x14ac:dyDescent="0.25">
      <c r="A303" s="25" t="s">
        <v>266</v>
      </c>
      <c r="B303" s="20" t="s">
        <v>166</v>
      </c>
      <c r="C303" s="20" t="s">
        <v>254</v>
      </c>
      <c r="D303" s="20" t="s">
        <v>1213</v>
      </c>
      <c r="E303" s="20" t="s">
        <v>267</v>
      </c>
      <c r="F303" s="10">
        <f>'Пр.4 ведом.20'!G255</f>
        <v>0</v>
      </c>
      <c r="G303" s="335">
        <f>'Пр.4 ведом.20'!H255</f>
        <v>0</v>
      </c>
      <c r="H303" s="4" t="e">
        <f t="shared" si="131"/>
        <v>#DIV/0!</v>
      </c>
    </row>
    <row r="304" spans="1:8" s="217" customFormat="1" ht="31.5" x14ac:dyDescent="0.25">
      <c r="A304" s="23" t="s">
        <v>1209</v>
      </c>
      <c r="B304" s="24" t="s">
        <v>166</v>
      </c>
      <c r="C304" s="24" t="s">
        <v>254</v>
      </c>
      <c r="D304" s="24" t="s">
        <v>938</v>
      </c>
      <c r="E304" s="24"/>
      <c r="F304" s="59">
        <f>F305+F308</f>
        <v>260</v>
      </c>
      <c r="G304" s="347">
        <f t="shared" ref="G304" si="151">G305+G308</f>
        <v>0</v>
      </c>
      <c r="H304" s="4">
        <f t="shared" si="131"/>
        <v>0</v>
      </c>
    </row>
    <row r="305" spans="1:8" s="217" customFormat="1" ht="31.5" x14ac:dyDescent="0.25">
      <c r="A305" s="25" t="s">
        <v>1210</v>
      </c>
      <c r="B305" s="20" t="s">
        <v>166</v>
      </c>
      <c r="C305" s="20" t="s">
        <v>254</v>
      </c>
      <c r="D305" s="20" t="s">
        <v>1214</v>
      </c>
      <c r="E305" s="20"/>
      <c r="F305" s="10">
        <f>F306</f>
        <v>60</v>
      </c>
      <c r="G305" s="335">
        <f t="shared" ref="G305:G306" si="152">G306</f>
        <v>0</v>
      </c>
      <c r="H305" s="6">
        <f t="shared" si="131"/>
        <v>0</v>
      </c>
    </row>
    <row r="306" spans="1:8" s="217" customFormat="1" ht="15.75" x14ac:dyDescent="0.25">
      <c r="A306" s="25" t="s">
        <v>151</v>
      </c>
      <c r="B306" s="20" t="s">
        <v>166</v>
      </c>
      <c r="C306" s="20" t="s">
        <v>254</v>
      </c>
      <c r="D306" s="20" t="s">
        <v>1214</v>
      </c>
      <c r="E306" s="20" t="s">
        <v>161</v>
      </c>
      <c r="F306" s="10">
        <f>F307</f>
        <v>60</v>
      </c>
      <c r="G306" s="335">
        <f t="shared" si="152"/>
        <v>0</v>
      </c>
      <c r="H306" s="6">
        <f t="shared" si="131"/>
        <v>0</v>
      </c>
    </row>
    <row r="307" spans="1:8" s="217" customFormat="1" ht="47.25" x14ac:dyDescent="0.25">
      <c r="A307" s="25" t="s">
        <v>200</v>
      </c>
      <c r="B307" s="20" t="s">
        <v>166</v>
      </c>
      <c r="C307" s="20" t="s">
        <v>254</v>
      </c>
      <c r="D307" s="20" t="s">
        <v>1214</v>
      </c>
      <c r="E307" s="20" t="s">
        <v>176</v>
      </c>
      <c r="F307" s="10">
        <f>'Пр.4 ведом.20'!G259</f>
        <v>60</v>
      </c>
      <c r="G307" s="335">
        <f>'Пр.4 ведом.20'!H259</f>
        <v>0</v>
      </c>
      <c r="H307" s="6">
        <f t="shared" si="131"/>
        <v>0</v>
      </c>
    </row>
    <row r="308" spans="1:8" s="217" customFormat="1" ht="110.25" x14ac:dyDescent="0.25">
      <c r="A308" s="25" t="s">
        <v>389</v>
      </c>
      <c r="B308" s="20" t="s">
        <v>166</v>
      </c>
      <c r="C308" s="20" t="s">
        <v>254</v>
      </c>
      <c r="D308" s="20" t="s">
        <v>1215</v>
      </c>
      <c r="E308" s="20"/>
      <c r="F308" s="10">
        <f>F309</f>
        <v>200</v>
      </c>
      <c r="G308" s="335">
        <f t="shared" ref="G308:G309" si="153">G309</f>
        <v>0</v>
      </c>
      <c r="H308" s="6">
        <f t="shared" si="131"/>
        <v>0</v>
      </c>
    </row>
    <row r="309" spans="1:8" s="217" customFormat="1" ht="15.75" x14ac:dyDescent="0.25">
      <c r="A309" s="25" t="s">
        <v>151</v>
      </c>
      <c r="B309" s="20" t="s">
        <v>166</v>
      </c>
      <c r="C309" s="20" t="s">
        <v>254</v>
      </c>
      <c r="D309" s="20" t="s">
        <v>1215</v>
      </c>
      <c r="E309" s="20" t="s">
        <v>161</v>
      </c>
      <c r="F309" s="10">
        <f>F310</f>
        <v>200</v>
      </c>
      <c r="G309" s="335">
        <f t="shared" si="153"/>
        <v>0</v>
      </c>
      <c r="H309" s="6">
        <f t="shared" si="131"/>
        <v>0</v>
      </c>
    </row>
    <row r="310" spans="1:8" s="217" customFormat="1" ht="47.25" x14ac:dyDescent="0.25">
      <c r="A310" s="25" t="s">
        <v>200</v>
      </c>
      <c r="B310" s="20" t="s">
        <v>166</v>
      </c>
      <c r="C310" s="20" t="s">
        <v>254</v>
      </c>
      <c r="D310" s="20" t="s">
        <v>1215</v>
      </c>
      <c r="E310" s="20" t="s">
        <v>176</v>
      </c>
      <c r="F310" s="10">
        <f>'Пр.4 ведом.20'!G262</f>
        <v>200</v>
      </c>
      <c r="G310" s="335">
        <f>'Пр.4 ведом.20'!H262</f>
        <v>0</v>
      </c>
      <c r="H310" s="6">
        <f t="shared" si="131"/>
        <v>0</v>
      </c>
    </row>
    <row r="311" spans="1:8" s="217" customFormat="1" ht="31.5" hidden="1" x14ac:dyDescent="0.25">
      <c r="A311" s="23" t="s">
        <v>1145</v>
      </c>
      <c r="B311" s="24" t="s">
        <v>166</v>
      </c>
      <c r="C311" s="24" t="s">
        <v>254</v>
      </c>
      <c r="D311" s="24" t="s">
        <v>939</v>
      </c>
      <c r="E311" s="24"/>
      <c r="F311" s="59">
        <f>F312+F315</f>
        <v>0</v>
      </c>
      <c r="G311" s="347">
        <f t="shared" ref="G311" si="154">G312+G315</f>
        <v>0</v>
      </c>
      <c r="H311" s="6" t="e">
        <f t="shared" si="131"/>
        <v>#DIV/0!</v>
      </c>
    </row>
    <row r="312" spans="1:8" s="217" customFormat="1" ht="31.5" hidden="1" x14ac:dyDescent="0.25">
      <c r="A312" s="270" t="s">
        <v>1218</v>
      </c>
      <c r="B312" s="20" t="s">
        <v>166</v>
      </c>
      <c r="C312" s="20" t="s">
        <v>254</v>
      </c>
      <c r="D312" s="20" t="s">
        <v>1216</v>
      </c>
      <c r="E312" s="20"/>
      <c r="F312" s="10">
        <f>F313</f>
        <v>0</v>
      </c>
      <c r="G312" s="335">
        <f t="shared" ref="G312:G313" si="155">G313</f>
        <v>0</v>
      </c>
      <c r="H312" s="6" t="e">
        <f t="shared" si="131"/>
        <v>#DIV/0!</v>
      </c>
    </row>
    <row r="313" spans="1:8" s="217" customFormat="1" ht="31.5" hidden="1" x14ac:dyDescent="0.25">
      <c r="A313" s="25" t="s">
        <v>147</v>
      </c>
      <c r="B313" s="20" t="s">
        <v>166</v>
      </c>
      <c r="C313" s="20" t="s">
        <v>254</v>
      </c>
      <c r="D313" s="20" t="s">
        <v>1216</v>
      </c>
      <c r="E313" s="20" t="s">
        <v>148</v>
      </c>
      <c r="F313" s="10">
        <f>F314</f>
        <v>0</v>
      </c>
      <c r="G313" s="335">
        <f t="shared" si="155"/>
        <v>0</v>
      </c>
      <c r="H313" s="6" t="e">
        <f t="shared" si="131"/>
        <v>#DIV/0!</v>
      </c>
    </row>
    <row r="314" spans="1:8" s="217" customFormat="1" ht="31.5" hidden="1" x14ac:dyDescent="0.25">
      <c r="A314" s="25" t="s">
        <v>149</v>
      </c>
      <c r="B314" s="20" t="s">
        <v>166</v>
      </c>
      <c r="C314" s="20" t="s">
        <v>254</v>
      </c>
      <c r="D314" s="20" t="s">
        <v>1216</v>
      </c>
      <c r="E314" s="20" t="s">
        <v>150</v>
      </c>
      <c r="F314" s="10">
        <f>'Пр.4 ведом.20'!G266</f>
        <v>0</v>
      </c>
      <c r="G314" s="335">
        <f>'Пр.4 ведом.20'!H266</f>
        <v>0</v>
      </c>
      <c r="H314" s="6" t="e">
        <f t="shared" si="131"/>
        <v>#DIV/0!</v>
      </c>
    </row>
    <row r="315" spans="1:8" s="217" customFormat="1" ht="31.5" hidden="1" x14ac:dyDescent="0.25">
      <c r="A315" s="25" t="s">
        <v>393</v>
      </c>
      <c r="B315" s="20" t="s">
        <v>166</v>
      </c>
      <c r="C315" s="20" t="s">
        <v>254</v>
      </c>
      <c r="D315" s="20" t="s">
        <v>1217</v>
      </c>
      <c r="E315" s="20"/>
      <c r="F315" s="10">
        <f>F316</f>
        <v>0</v>
      </c>
      <c r="G315" s="335">
        <f t="shared" ref="G315:G316" si="156">G316</f>
        <v>0</v>
      </c>
      <c r="H315" s="6" t="e">
        <f t="shared" si="131"/>
        <v>#DIV/0!</v>
      </c>
    </row>
    <row r="316" spans="1:8" s="217" customFormat="1" ht="31.5" hidden="1" x14ac:dyDescent="0.25">
      <c r="A316" s="25" t="s">
        <v>147</v>
      </c>
      <c r="B316" s="20" t="s">
        <v>166</v>
      </c>
      <c r="C316" s="20" t="s">
        <v>254</v>
      </c>
      <c r="D316" s="20" t="s">
        <v>1217</v>
      </c>
      <c r="E316" s="20" t="s">
        <v>148</v>
      </c>
      <c r="F316" s="10">
        <f>F317</f>
        <v>0</v>
      </c>
      <c r="G316" s="335">
        <f t="shared" si="156"/>
        <v>0</v>
      </c>
      <c r="H316" s="6" t="e">
        <f t="shared" si="131"/>
        <v>#DIV/0!</v>
      </c>
    </row>
    <row r="317" spans="1:8" s="217" customFormat="1" ht="31.5" hidden="1" x14ac:dyDescent="0.25">
      <c r="A317" s="25" t="s">
        <v>149</v>
      </c>
      <c r="B317" s="20" t="s">
        <v>166</v>
      </c>
      <c r="C317" s="20" t="s">
        <v>254</v>
      </c>
      <c r="D317" s="20" t="s">
        <v>1217</v>
      </c>
      <c r="E317" s="20" t="s">
        <v>150</v>
      </c>
      <c r="F317" s="10">
        <f>'Пр.4 ведом.20'!G269</f>
        <v>0</v>
      </c>
      <c r="G317" s="335">
        <f>'Пр.4 ведом.20'!H269</f>
        <v>0</v>
      </c>
      <c r="H317" s="6" t="e">
        <f t="shared" si="131"/>
        <v>#DIV/0!</v>
      </c>
    </row>
    <row r="318" spans="1:8" s="217" customFormat="1" ht="31.5" x14ac:dyDescent="0.25">
      <c r="A318" s="224" t="s">
        <v>1309</v>
      </c>
      <c r="B318" s="24" t="s">
        <v>166</v>
      </c>
      <c r="C318" s="24" t="s">
        <v>254</v>
      </c>
      <c r="D318" s="24" t="s">
        <v>1308</v>
      </c>
      <c r="E318" s="24"/>
      <c r="F318" s="21">
        <f>F319</f>
        <v>10</v>
      </c>
      <c r="G318" s="339">
        <f t="shared" ref="G318:G320" si="157">G319</f>
        <v>0</v>
      </c>
      <c r="H318" s="4">
        <f t="shared" si="131"/>
        <v>0</v>
      </c>
    </row>
    <row r="319" spans="1:8" s="217" customFormat="1" ht="31.5" x14ac:dyDescent="0.25">
      <c r="A319" s="248" t="s">
        <v>1310</v>
      </c>
      <c r="B319" s="20" t="s">
        <v>166</v>
      </c>
      <c r="C319" s="20" t="s">
        <v>254</v>
      </c>
      <c r="D319" s="20" t="s">
        <v>1360</v>
      </c>
      <c r="E319" s="20"/>
      <c r="F319" s="26">
        <f>F320</f>
        <v>10</v>
      </c>
      <c r="G319" s="343">
        <f t="shared" si="157"/>
        <v>0</v>
      </c>
      <c r="H319" s="6">
        <f t="shared" si="131"/>
        <v>0</v>
      </c>
    </row>
    <row r="320" spans="1:8" s="217" customFormat="1" ht="31.5" x14ac:dyDescent="0.25">
      <c r="A320" s="25" t="s">
        <v>147</v>
      </c>
      <c r="B320" s="20" t="s">
        <v>166</v>
      </c>
      <c r="C320" s="20" t="s">
        <v>254</v>
      </c>
      <c r="D320" s="20" t="s">
        <v>1360</v>
      </c>
      <c r="E320" s="20" t="s">
        <v>148</v>
      </c>
      <c r="F320" s="26">
        <f>F321</f>
        <v>10</v>
      </c>
      <c r="G320" s="343">
        <f t="shared" si="157"/>
        <v>0</v>
      </c>
      <c r="H320" s="6">
        <f t="shared" si="131"/>
        <v>0</v>
      </c>
    </row>
    <row r="321" spans="1:12" s="217" customFormat="1" ht="31.5" x14ac:dyDescent="0.25">
      <c r="A321" s="25" t="s">
        <v>149</v>
      </c>
      <c r="B321" s="20" t="s">
        <v>166</v>
      </c>
      <c r="C321" s="20" t="s">
        <v>254</v>
      </c>
      <c r="D321" s="20" t="s">
        <v>1360</v>
      </c>
      <c r="E321" s="20" t="s">
        <v>150</v>
      </c>
      <c r="F321" s="26">
        <f>'Пр.4 ведом.20'!G273</f>
        <v>10</v>
      </c>
      <c r="G321" s="343">
        <f>'Пр.4 ведом.20'!H273</f>
        <v>0</v>
      </c>
      <c r="H321" s="6">
        <f t="shared" si="131"/>
        <v>0</v>
      </c>
    </row>
    <row r="322" spans="1:12" ht="47.25" hidden="1" x14ac:dyDescent="0.25">
      <c r="A322" s="23" t="s">
        <v>1239</v>
      </c>
      <c r="B322" s="24" t="s">
        <v>166</v>
      </c>
      <c r="C322" s="24" t="s">
        <v>254</v>
      </c>
      <c r="D322" s="24" t="s">
        <v>172</v>
      </c>
      <c r="E322" s="24"/>
      <c r="F322" s="59">
        <f>F323</f>
        <v>250</v>
      </c>
      <c r="G322" s="347">
        <f t="shared" ref="G322" si="158">G323</f>
        <v>0</v>
      </c>
      <c r="H322" s="6">
        <f t="shared" si="131"/>
        <v>0</v>
      </c>
    </row>
    <row r="323" spans="1:12" ht="47.25" hidden="1" x14ac:dyDescent="0.25">
      <c r="A323" s="23" t="s">
        <v>1243</v>
      </c>
      <c r="B323" s="24" t="s">
        <v>166</v>
      </c>
      <c r="C323" s="24" t="s">
        <v>254</v>
      </c>
      <c r="D323" s="24" t="s">
        <v>1240</v>
      </c>
      <c r="E323" s="24"/>
      <c r="F323" s="59">
        <f>F324+F327</f>
        <v>250</v>
      </c>
      <c r="G323" s="347">
        <f t="shared" ref="G323" si="159">G324+G327</f>
        <v>0</v>
      </c>
      <c r="H323" s="6">
        <f t="shared" si="131"/>
        <v>0</v>
      </c>
    </row>
    <row r="324" spans="1:12" ht="31.5" hidden="1" x14ac:dyDescent="0.25">
      <c r="A324" s="25" t="s">
        <v>1244</v>
      </c>
      <c r="B324" s="20" t="s">
        <v>166</v>
      </c>
      <c r="C324" s="20" t="s">
        <v>254</v>
      </c>
      <c r="D324" s="20" t="s">
        <v>1241</v>
      </c>
      <c r="E324" s="20"/>
      <c r="F324" s="10">
        <f>F325</f>
        <v>250</v>
      </c>
      <c r="G324" s="335">
        <f t="shared" ref="G324:G325" si="160">G325</f>
        <v>0</v>
      </c>
      <c r="H324" s="6">
        <f t="shared" si="131"/>
        <v>0</v>
      </c>
    </row>
    <row r="325" spans="1:12" ht="15.75" hidden="1" x14ac:dyDescent="0.25">
      <c r="A325" s="25" t="s">
        <v>151</v>
      </c>
      <c r="B325" s="20" t="s">
        <v>166</v>
      </c>
      <c r="C325" s="20" t="s">
        <v>254</v>
      </c>
      <c r="D325" s="20" t="s">
        <v>1241</v>
      </c>
      <c r="E325" s="20" t="s">
        <v>161</v>
      </c>
      <c r="F325" s="10">
        <f>F326</f>
        <v>250</v>
      </c>
      <c r="G325" s="335">
        <f t="shared" si="160"/>
        <v>0</v>
      </c>
      <c r="H325" s="6">
        <f t="shared" si="131"/>
        <v>0</v>
      </c>
    </row>
    <row r="326" spans="1:12" ht="47.25" hidden="1" x14ac:dyDescent="0.25">
      <c r="A326" s="25" t="s">
        <v>200</v>
      </c>
      <c r="B326" s="20" t="s">
        <v>166</v>
      </c>
      <c r="C326" s="20" t="s">
        <v>254</v>
      </c>
      <c r="D326" s="20" t="s">
        <v>1241</v>
      </c>
      <c r="E326" s="20" t="s">
        <v>176</v>
      </c>
      <c r="F326" s="10">
        <f>'Пр.4 ведом.20'!G186</f>
        <v>250</v>
      </c>
      <c r="G326" s="335">
        <f>'Пр.4 ведом.20'!H186</f>
        <v>0</v>
      </c>
      <c r="H326" s="6">
        <f t="shared" si="131"/>
        <v>0</v>
      </c>
    </row>
    <row r="327" spans="1:12" ht="31.5" hidden="1" x14ac:dyDescent="0.25">
      <c r="A327" s="25" t="s">
        <v>255</v>
      </c>
      <c r="B327" s="20" t="s">
        <v>166</v>
      </c>
      <c r="C327" s="20" t="s">
        <v>254</v>
      </c>
      <c r="D327" s="20" t="s">
        <v>1242</v>
      </c>
      <c r="E327" s="24"/>
      <c r="F327" s="10">
        <f>F328</f>
        <v>0</v>
      </c>
      <c r="G327" s="335">
        <f t="shared" ref="G327:G328" si="161">G328</f>
        <v>0</v>
      </c>
      <c r="H327" s="6" t="e">
        <f t="shared" si="131"/>
        <v>#DIV/0!</v>
      </c>
    </row>
    <row r="328" spans="1:12" ht="15.75" hidden="1" x14ac:dyDescent="0.25">
      <c r="A328" s="25" t="s">
        <v>151</v>
      </c>
      <c r="B328" s="20" t="s">
        <v>166</v>
      </c>
      <c r="C328" s="20" t="s">
        <v>254</v>
      </c>
      <c r="D328" s="20" t="s">
        <v>1242</v>
      </c>
      <c r="E328" s="20" t="s">
        <v>161</v>
      </c>
      <c r="F328" s="10">
        <f>F329</f>
        <v>0</v>
      </c>
      <c r="G328" s="335">
        <f t="shared" si="161"/>
        <v>0</v>
      </c>
      <c r="H328" s="6" t="e">
        <f t="shared" si="131"/>
        <v>#DIV/0!</v>
      </c>
    </row>
    <row r="329" spans="1:12" ht="47.25" hidden="1" x14ac:dyDescent="0.25">
      <c r="A329" s="25" t="s">
        <v>200</v>
      </c>
      <c r="B329" s="20" t="s">
        <v>166</v>
      </c>
      <c r="C329" s="20" t="s">
        <v>254</v>
      </c>
      <c r="D329" s="20" t="s">
        <v>1242</v>
      </c>
      <c r="E329" s="20" t="s">
        <v>176</v>
      </c>
      <c r="F329" s="10">
        <f>'Пр.4 ведом.20'!G189</f>
        <v>0</v>
      </c>
      <c r="G329" s="335">
        <f>'Пр.4 ведом.20'!H189</f>
        <v>0</v>
      </c>
      <c r="H329" s="6" t="e">
        <f t="shared" si="131"/>
        <v>#DIV/0!</v>
      </c>
    </row>
    <row r="330" spans="1:12" ht="15.75" x14ac:dyDescent="0.25">
      <c r="A330" s="23" t="s">
        <v>406</v>
      </c>
      <c r="B330" s="24" t="s">
        <v>250</v>
      </c>
      <c r="C330" s="24"/>
      <c r="D330" s="24"/>
      <c r="E330" s="24"/>
      <c r="F330" s="4">
        <f>F331++F348+F415+F466</f>
        <v>65254</v>
      </c>
      <c r="G330" s="4">
        <f t="shared" ref="G330" si="162">G331++G348+G415+G466</f>
        <v>20619.130000000005</v>
      </c>
      <c r="H330" s="4">
        <f t="shared" si="131"/>
        <v>31.598262175498824</v>
      </c>
    </row>
    <row r="331" spans="1:12" ht="15.75" x14ac:dyDescent="0.25">
      <c r="A331" s="23" t="s">
        <v>407</v>
      </c>
      <c r="B331" s="24" t="s">
        <v>250</v>
      </c>
      <c r="C331" s="24" t="s">
        <v>134</v>
      </c>
      <c r="D331" s="24"/>
      <c r="E331" s="24"/>
      <c r="F331" s="4">
        <f t="shared" ref="F331:G332" si="163">F332</f>
        <v>6625.4</v>
      </c>
      <c r="G331" s="4">
        <f t="shared" si="163"/>
        <v>2866.57</v>
      </c>
      <c r="H331" s="4">
        <f t="shared" ref="H331:H394" si="164">G331/F331*100</f>
        <v>43.26636882301446</v>
      </c>
      <c r="I331" s="22"/>
      <c r="L331" s="22"/>
    </row>
    <row r="332" spans="1:12" ht="15.75" x14ac:dyDescent="0.25">
      <c r="A332" s="23" t="s">
        <v>157</v>
      </c>
      <c r="B332" s="24" t="s">
        <v>250</v>
      </c>
      <c r="C332" s="24" t="s">
        <v>134</v>
      </c>
      <c r="D332" s="24" t="s">
        <v>912</v>
      </c>
      <c r="E332" s="24"/>
      <c r="F332" s="4">
        <f t="shared" si="163"/>
        <v>6625.4</v>
      </c>
      <c r="G332" s="4">
        <f t="shared" si="163"/>
        <v>2866.57</v>
      </c>
      <c r="H332" s="4">
        <f t="shared" si="164"/>
        <v>43.26636882301446</v>
      </c>
    </row>
    <row r="333" spans="1:12" ht="31.5" x14ac:dyDescent="0.25">
      <c r="A333" s="23" t="s">
        <v>916</v>
      </c>
      <c r="B333" s="24" t="s">
        <v>250</v>
      </c>
      <c r="C333" s="24" t="s">
        <v>134</v>
      </c>
      <c r="D333" s="24" t="s">
        <v>911</v>
      </c>
      <c r="E333" s="24"/>
      <c r="F333" s="4">
        <f>F334+F339+F342+F345</f>
        <v>6625.4</v>
      </c>
      <c r="G333" s="4">
        <f t="shared" ref="G333" si="165">G334+G339+G342+G345</f>
        <v>2866.57</v>
      </c>
      <c r="H333" s="4">
        <f t="shared" si="164"/>
        <v>43.26636882301446</v>
      </c>
    </row>
    <row r="334" spans="1:12" ht="15.75" x14ac:dyDescent="0.25">
      <c r="A334" s="25" t="s">
        <v>531</v>
      </c>
      <c r="B334" s="20" t="s">
        <v>797</v>
      </c>
      <c r="C334" s="20" t="s">
        <v>134</v>
      </c>
      <c r="D334" s="20" t="s">
        <v>1096</v>
      </c>
      <c r="E334" s="24"/>
      <c r="F334" s="6">
        <f t="shared" ref="F334:G334" si="166">F335+F337</f>
        <v>274</v>
      </c>
      <c r="G334" s="6">
        <f t="shared" si="166"/>
        <v>274</v>
      </c>
      <c r="H334" s="6">
        <f t="shared" si="164"/>
        <v>100</v>
      </c>
    </row>
    <row r="335" spans="1:12" ht="31.5" x14ac:dyDescent="0.25">
      <c r="A335" s="25" t="s">
        <v>147</v>
      </c>
      <c r="B335" s="20" t="s">
        <v>250</v>
      </c>
      <c r="C335" s="20" t="s">
        <v>134</v>
      </c>
      <c r="D335" s="20" t="s">
        <v>1096</v>
      </c>
      <c r="E335" s="20" t="s">
        <v>148</v>
      </c>
      <c r="F335" s="6">
        <f t="shared" ref="F335:G335" si="167">F336</f>
        <v>274</v>
      </c>
      <c r="G335" s="6">
        <f t="shared" si="167"/>
        <v>274</v>
      </c>
      <c r="H335" s="6">
        <f t="shared" si="164"/>
        <v>100</v>
      </c>
    </row>
    <row r="336" spans="1:12" ht="31.5" x14ac:dyDescent="0.25">
      <c r="A336" s="25" t="s">
        <v>149</v>
      </c>
      <c r="B336" s="20" t="s">
        <v>250</v>
      </c>
      <c r="C336" s="20" t="s">
        <v>134</v>
      </c>
      <c r="D336" s="20" t="s">
        <v>1096</v>
      </c>
      <c r="E336" s="20" t="s">
        <v>150</v>
      </c>
      <c r="F336" s="6">
        <f>'Пр.4 ведом.20'!G944</f>
        <v>274</v>
      </c>
      <c r="G336" s="6">
        <f>'Пр.4 ведом.20'!H944</f>
        <v>274</v>
      </c>
      <c r="H336" s="6">
        <f t="shared" si="164"/>
        <v>100</v>
      </c>
    </row>
    <row r="337" spans="1:8" ht="15.75" hidden="1" x14ac:dyDescent="0.25">
      <c r="A337" s="25" t="s">
        <v>151</v>
      </c>
      <c r="B337" s="20" t="s">
        <v>250</v>
      </c>
      <c r="C337" s="20" t="s">
        <v>134</v>
      </c>
      <c r="D337" s="20" t="s">
        <v>1096</v>
      </c>
      <c r="E337" s="20" t="s">
        <v>161</v>
      </c>
      <c r="F337" s="6">
        <f t="shared" ref="F337:G337" si="168">F338</f>
        <v>0</v>
      </c>
      <c r="G337" s="6">
        <f t="shared" si="168"/>
        <v>0</v>
      </c>
      <c r="H337" s="6" t="e">
        <f t="shared" si="164"/>
        <v>#DIV/0!</v>
      </c>
    </row>
    <row r="338" spans="1:8" ht="47.25" hidden="1" x14ac:dyDescent="0.25">
      <c r="A338" s="25" t="s">
        <v>200</v>
      </c>
      <c r="B338" s="20" t="s">
        <v>250</v>
      </c>
      <c r="C338" s="20" t="s">
        <v>134</v>
      </c>
      <c r="D338" s="20" t="s">
        <v>1096</v>
      </c>
      <c r="E338" s="20" t="s">
        <v>176</v>
      </c>
      <c r="F338" s="6">
        <f>'Пр.4 ведом.20'!G946</f>
        <v>0</v>
      </c>
      <c r="G338" s="6">
        <f>'Пр.4 ведом.20'!H946</f>
        <v>0</v>
      </c>
      <c r="H338" s="6" t="e">
        <f t="shared" si="164"/>
        <v>#DIV/0!</v>
      </c>
    </row>
    <row r="339" spans="1:8" ht="31.5" x14ac:dyDescent="0.25">
      <c r="A339" s="29" t="s">
        <v>414</v>
      </c>
      <c r="B339" s="20" t="s">
        <v>250</v>
      </c>
      <c r="C339" s="20" t="s">
        <v>134</v>
      </c>
      <c r="D339" s="20" t="s">
        <v>1097</v>
      </c>
      <c r="E339" s="24"/>
      <c r="F339" s="6">
        <f t="shared" ref="F339:G340" si="169">F340</f>
        <v>4290.3999999999996</v>
      </c>
      <c r="G339" s="6">
        <f t="shared" si="169"/>
        <v>1948.63</v>
      </c>
      <c r="H339" s="6">
        <f t="shared" si="164"/>
        <v>45.418375909006159</v>
      </c>
    </row>
    <row r="340" spans="1:8" ht="31.5" x14ac:dyDescent="0.25">
      <c r="A340" s="25" t="s">
        <v>147</v>
      </c>
      <c r="B340" s="20" t="s">
        <v>250</v>
      </c>
      <c r="C340" s="20" t="s">
        <v>134</v>
      </c>
      <c r="D340" s="20" t="s">
        <v>1097</v>
      </c>
      <c r="E340" s="20" t="s">
        <v>148</v>
      </c>
      <c r="F340" s="6">
        <f t="shared" si="169"/>
        <v>4290.3999999999996</v>
      </c>
      <c r="G340" s="6">
        <f t="shared" si="169"/>
        <v>1948.63</v>
      </c>
      <c r="H340" s="6">
        <f t="shared" si="164"/>
        <v>45.418375909006159</v>
      </c>
    </row>
    <row r="341" spans="1:8" ht="31.5" x14ac:dyDescent="0.25">
      <c r="A341" s="25" t="s">
        <v>149</v>
      </c>
      <c r="B341" s="20" t="s">
        <v>250</v>
      </c>
      <c r="C341" s="20" t="s">
        <v>134</v>
      </c>
      <c r="D341" s="20" t="s">
        <v>1097</v>
      </c>
      <c r="E341" s="20" t="s">
        <v>150</v>
      </c>
      <c r="F341" s="6">
        <f>'Пр.4 ведом.20'!G531+'Пр.4 ведом.20'!G949</f>
        <v>4290.3999999999996</v>
      </c>
      <c r="G341" s="6">
        <f>'Пр.4 ведом.20'!H531+'Пр.4 ведом.20'!H949</f>
        <v>1948.63</v>
      </c>
      <c r="H341" s="6">
        <f t="shared" si="164"/>
        <v>45.418375909006159</v>
      </c>
    </row>
    <row r="342" spans="1:8" ht="31.5" x14ac:dyDescent="0.25">
      <c r="A342" s="29" t="s">
        <v>1005</v>
      </c>
      <c r="B342" s="20" t="s">
        <v>250</v>
      </c>
      <c r="C342" s="20" t="s">
        <v>134</v>
      </c>
      <c r="D342" s="20" t="s">
        <v>1098</v>
      </c>
      <c r="E342" s="24"/>
      <c r="F342" s="6">
        <f>F343</f>
        <v>1910.6</v>
      </c>
      <c r="G342" s="6">
        <f t="shared" ref="G342:G343" si="170">G343</f>
        <v>643.94000000000005</v>
      </c>
      <c r="H342" s="6">
        <f t="shared" si="164"/>
        <v>33.703548623469068</v>
      </c>
    </row>
    <row r="343" spans="1:8" ht="31.5" x14ac:dyDescent="0.25">
      <c r="A343" s="25" t="s">
        <v>147</v>
      </c>
      <c r="B343" s="20" t="s">
        <v>250</v>
      </c>
      <c r="C343" s="20" t="s">
        <v>134</v>
      </c>
      <c r="D343" s="20" t="s">
        <v>1098</v>
      </c>
      <c r="E343" s="20" t="s">
        <v>148</v>
      </c>
      <c r="F343" s="6">
        <f>F344</f>
        <v>1910.6</v>
      </c>
      <c r="G343" s="6">
        <f t="shared" si="170"/>
        <v>643.94000000000005</v>
      </c>
      <c r="H343" s="6">
        <f t="shared" si="164"/>
        <v>33.703548623469068</v>
      </c>
    </row>
    <row r="344" spans="1:8" ht="31.5" x14ac:dyDescent="0.25">
      <c r="A344" s="25" t="s">
        <v>149</v>
      </c>
      <c r="B344" s="20" t="s">
        <v>250</v>
      </c>
      <c r="C344" s="20" t="s">
        <v>134</v>
      </c>
      <c r="D344" s="20" t="s">
        <v>1098</v>
      </c>
      <c r="E344" s="20" t="s">
        <v>150</v>
      </c>
      <c r="F344" s="6">
        <f>'Пр.4 ведом.20'!G952+'Пр.4 ведом.20'!G534</f>
        <v>1910.6</v>
      </c>
      <c r="G344" s="6">
        <f>'Пр.4 ведом.20'!H952+'Пр.4 ведом.20'!H534</f>
        <v>643.94000000000005</v>
      </c>
      <c r="H344" s="6">
        <f t="shared" si="164"/>
        <v>33.703548623469068</v>
      </c>
    </row>
    <row r="345" spans="1:8" s="331" customFormat="1" ht="47.25" x14ac:dyDescent="0.25">
      <c r="A345" s="342" t="s">
        <v>1525</v>
      </c>
      <c r="B345" s="338" t="s">
        <v>250</v>
      </c>
      <c r="C345" s="338" t="s">
        <v>134</v>
      </c>
      <c r="D345" s="338" t="s">
        <v>1526</v>
      </c>
      <c r="E345" s="338"/>
      <c r="F345" s="6">
        <f>F346</f>
        <v>150.4</v>
      </c>
      <c r="G345" s="6">
        <f t="shared" ref="G345:G346" si="171">G346</f>
        <v>0</v>
      </c>
      <c r="H345" s="6">
        <f t="shared" si="164"/>
        <v>0</v>
      </c>
    </row>
    <row r="346" spans="1:8" s="331" customFormat="1" ht="15.75" x14ac:dyDescent="0.25">
      <c r="A346" s="342" t="s">
        <v>151</v>
      </c>
      <c r="B346" s="338" t="s">
        <v>250</v>
      </c>
      <c r="C346" s="338" t="s">
        <v>134</v>
      </c>
      <c r="D346" s="338" t="s">
        <v>1526</v>
      </c>
      <c r="E346" s="338" t="s">
        <v>161</v>
      </c>
      <c r="F346" s="6">
        <f>F347</f>
        <v>150.4</v>
      </c>
      <c r="G346" s="6">
        <f t="shared" si="171"/>
        <v>0</v>
      </c>
      <c r="H346" s="6">
        <f t="shared" si="164"/>
        <v>0</v>
      </c>
    </row>
    <row r="347" spans="1:8" s="331" customFormat="1" ht="47.25" x14ac:dyDescent="0.25">
      <c r="A347" s="342" t="s">
        <v>200</v>
      </c>
      <c r="B347" s="338" t="s">
        <v>250</v>
      </c>
      <c r="C347" s="338" t="s">
        <v>134</v>
      </c>
      <c r="D347" s="338" t="s">
        <v>1526</v>
      </c>
      <c r="E347" s="338" t="s">
        <v>176</v>
      </c>
      <c r="F347" s="6">
        <f>'Пр.4 ведом.20'!G955</f>
        <v>150.4</v>
      </c>
      <c r="G347" s="6">
        <f>'Пр.4 ведом.20'!H955</f>
        <v>0</v>
      </c>
      <c r="H347" s="6">
        <f t="shared" si="164"/>
        <v>0</v>
      </c>
    </row>
    <row r="348" spans="1:8" ht="15.75" x14ac:dyDescent="0.25">
      <c r="A348" s="23" t="s">
        <v>533</v>
      </c>
      <c r="B348" s="24" t="s">
        <v>250</v>
      </c>
      <c r="C348" s="24" t="s">
        <v>229</v>
      </c>
      <c r="D348" s="24"/>
      <c r="E348" s="24"/>
      <c r="F348" s="4">
        <f>F381+F349+F410</f>
        <v>30089.9</v>
      </c>
      <c r="G348" s="4">
        <f t="shared" ref="G348" si="172">G381+G349+G410</f>
        <v>5298.54</v>
      </c>
      <c r="H348" s="4">
        <f t="shared" si="164"/>
        <v>17.609031601966109</v>
      </c>
    </row>
    <row r="349" spans="1:8" ht="15.75" x14ac:dyDescent="0.25">
      <c r="A349" s="23" t="s">
        <v>157</v>
      </c>
      <c r="B349" s="24" t="s">
        <v>250</v>
      </c>
      <c r="C349" s="24" t="s">
        <v>229</v>
      </c>
      <c r="D349" s="24" t="s">
        <v>912</v>
      </c>
      <c r="E349" s="24"/>
      <c r="F349" s="4">
        <f>F350+F364</f>
        <v>29960.9</v>
      </c>
      <c r="G349" s="4">
        <f t="shared" ref="G349" si="173">G350+G364</f>
        <v>5169.54</v>
      </c>
      <c r="H349" s="4">
        <f t="shared" si="164"/>
        <v>17.25428808880908</v>
      </c>
    </row>
    <row r="350" spans="1:8" ht="33" customHeight="1" x14ac:dyDescent="0.25">
      <c r="A350" s="23" t="s">
        <v>916</v>
      </c>
      <c r="B350" s="24" t="s">
        <v>250</v>
      </c>
      <c r="C350" s="24" t="s">
        <v>229</v>
      </c>
      <c r="D350" s="24" t="s">
        <v>911</v>
      </c>
      <c r="E350" s="24"/>
      <c r="F350" s="4">
        <f>F351+F359</f>
        <v>7760.9</v>
      </c>
      <c r="G350" s="4">
        <f t="shared" ref="G350" si="174">G351+G359</f>
        <v>5169.54</v>
      </c>
      <c r="H350" s="4">
        <f t="shared" si="164"/>
        <v>66.610058111816926</v>
      </c>
    </row>
    <row r="351" spans="1:8" ht="17.45" customHeight="1" x14ac:dyDescent="0.25">
      <c r="A351" s="35" t="s">
        <v>553</v>
      </c>
      <c r="B351" s="20" t="s">
        <v>250</v>
      </c>
      <c r="C351" s="20" t="s">
        <v>229</v>
      </c>
      <c r="D351" s="20" t="s">
        <v>1115</v>
      </c>
      <c r="E351" s="20"/>
      <c r="F351" s="6">
        <f>F352+F356+F354</f>
        <v>1399.3999999999999</v>
      </c>
      <c r="G351" s="6">
        <f t="shared" ref="G351" si="175">G352+G356+G354</f>
        <v>1279.2</v>
      </c>
      <c r="H351" s="6">
        <f t="shared" si="164"/>
        <v>91.410604544804926</v>
      </c>
    </row>
    <row r="352" spans="1:8" ht="35.450000000000003" customHeight="1" x14ac:dyDescent="0.25">
      <c r="A352" s="25" t="s">
        <v>147</v>
      </c>
      <c r="B352" s="20" t="s">
        <v>250</v>
      </c>
      <c r="C352" s="20" t="s">
        <v>229</v>
      </c>
      <c r="D352" s="20" t="s">
        <v>1115</v>
      </c>
      <c r="E352" s="20" t="s">
        <v>148</v>
      </c>
      <c r="F352" s="6">
        <f>F353</f>
        <v>120</v>
      </c>
      <c r="G352" s="6">
        <f t="shared" ref="G352" si="176">G353</f>
        <v>0</v>
      </c>
      <c r="H352" s="6">
        <f t="shared" si="164"/>
        <v>0</v>
      </c>
    </row>
    <row r="353" spans="1:8" ht="31.5" x14ac:dyDescent="0.25">
      <c r="A353" s="25" t="s">
        <v>149</v>
      </c>
      <c r="B353" s="20" t="s">
        <v>250</v>
      </c>
      <c r="C353" s="20" t="s">
        <v>229</v>
      </c>
      <c r="D353" s="20" t="s">
        <v>1115</v>
      </c>
      <c r="E353" s="20" t="s">
        <v>150</v>
      </c>
      <c r="F353" s="6">
        <f>'Пр.4 ведом.20'!G961</f>
        <v>120</v>
      </c>
      <c r="G353" s="6">
        <f>'Пр.4 ведом.20'!H961</f>
        <v>0</v>
      </c>
      <c r="H353" s="6">
        <f t="shared" si="164"/>
        <v>0</v>
      </c>
    </row>
    <row r="354" spans="1:8" s="217" customFormat="1" ht="31.5" x14ac:dyDescent="0.25">
      <c r="A354" s="25" t="s">
        <v>884</v>
      </c>
      <c r="B354" s="20" t="s">
        <v>250</v>
      </c>
      <c r="C354" s="20" t="s">
        <v>229</v>
      </c>
      <c r="D354" s="20" t="s">
        <v>1115</v>
      </c>
      <c r="E354" s="20" t="s">
        <v>883</v>
      </c>
      <c r="F354" s="6">
        <f>F355</f>
        <v>1271.5999999999999</v>
      </c>
      <c r="G354" s="6">
        <f t="shared" ref="G354" si="177">G355</f>
        <v>1271.5</v>
      </c>
      <c r="H354" s="6">
        <f t="shared" si="164"/>
        <v>99.992135891789886</v>
      </c>
    </row>
    <row r="355" spans="1:8" s="217" customFormat="1" ht="63" x14ac:dyDescent="0.25">
      <c r="A355" s="25" t="s">
        <v>1224</v>
      </c>
      <c r="B355" s="20" t="s">
        <v>250</v>
      </c>
      <c r="C355" s="20" t="s">
        <v>229</v>
      </c>
      <c r="D355" s="20" t="s">
        <v>1115</v>
      </c>
      <c r="E355" s="20" t="s">
        <v>1246</v>
      </c>
      <c r="F355" s="6">
        <f>'Пр.4 ведом.20'!G963</f>
        <v>1271.5999999999999</v>
      </c>
      <c r="G355" s="6">
        <f>'Пр.4 ведом.20'!H963</f>
        <v>1271.5</v>
      </c>
      <c r="H355" s="6">
        <f t="shared" si="164"/>
        <v>99.992135891789886</v>
      </c>
    </row>
    <row r="356" spans="1:8" ht="15.75" x14ac:dyDescent="0.25">
      <c r="A356" s="25" t="s">
        <v>151</v>
      </c>
      <c r="B356" s="20" t="s">
        <v>250</v>
      </c>
      <c r="C356" s="20" t="s">
        <v>229</v>
      </c>
      <c r="D356" s="20" t="s">
        <v>1115</v>
      </c>
      <c r="E356" s="20" t="s">
        <v>161</v>
      </c>
      <c r="F356" s="6">
        <f>F357+F358</f>
        <v>7.8</v>
      </c>
      <c r="G356" s="6">
        <f t="shared" ref="G356" si="178">G357+G358</f>
        <v>7.7</v>
      </c>
      <c r="H356" s="6">
        <f t="shared" si="164"/>
        <v>98.71794871794873</v>
      </c>
    </row>
    <row r="357" spans="1:8" ht="47.25" hidden="1" x14ac:dyDescent="0.25">
      <c r="A357" s="25" t="s">
        <v>200</v>
      </c>
      <c r="B357" s="20" t="s">
        <v>250</v>
      </c>
      <c r="C357" s="20" t="s">
        <v>229</v>
      </c>
      <c r="D357" s="20" t="s">
        <v>1115</v>
      </c>
      <c r="E357" s="20" t="s">
        <v>176</v>
      </c>
      <c r="F357" s="6">
        <f>'Пр.4 ведом.20'!G965</f>
        <v>0</v>
      </c>
      <c r="G357" s="6">
        <f>'Пр.4 ведом.20'!H965</f>
        <v>0</v>
      </c>
      <c r="H357" s="6" t="e">
        <f t="shared" si="164"/>
        <v>#DIV/0!</v>
      </c>
    </row>
    <row r="358" spans="1:8" s="217" customFormat="1" ht="15.75" x14ac:dyDescent="0.25">
      <c r="A358" s="25" t="s">
        <v>1484</v>
      </c>
      <c r="B358" s="20" t="s">
        <v>250</v>
      </c>
      <c r="C358" s="20" t="s">
        <v>229</v>
      </c>
      <c r="D358" s="20" t="s">
        <v>1115</v>
      </c>
      <c r="E358" s="20" t="s">
        <v>163</v>
      </c>
      <c r="F358" s="6">
        <f>'Пр.4 ведом.20'!G966</f>
        <v>7.8</v>
      </c>
      <c r="G358" s="6">
        <f>'Пр.4 ведом.20'!H966</f>
        <v>7.7</v>
      </c>
      <c r="H358" s="6">
        <f t="shared" si="164"/>
        <v>98.71794871794873</v>
      </c>
    </row>
    <row r="359" spans="1:8" ht="31.5" x14ac:dyDescent="0.25">
      <c r="A359" s="29" t="s">
        <v>1005</v>
      </c>
      <c r="B359" s="20" t="s">
        <v>250</v>
      </c>
      <c r="C359" s="20" t="s">
        <v>229</v>
      </c>
      <c r="D359" s="20" t="s">
        <v>1098</v>
      </c>
      <c r="E359" s="20"/>
      <c r="F359" s="6">
        <f>F360+F362</f>
        <v>6361.5</v>
      </c>
      <c r="G359" s="6">
        <f t="shared" ref="G359" si="179">G360+G362</f>
        <v>3890.34</v>
      </c>
      <c r="H359" s="6">
        <f t="shared" si="164"/>
        <v>61.154444706437161</v>
      </c>
    </row>
    <row r="360" spans="1:8" ht="31.5" x14ac:dyDescent="0.25">
      <c r="A360" s="25" t="s">
        <v>147</v>
      </c>
      <c r="B360" s="20" t="s">
        <v>250</v>
      </c>
      <c r="C360" s="20" t="s">
        <v>229</v>
      </c>
      <c r="D360" s="20" t="s">
        <v>1098</v>
      </c>
      <c r="E360" s="20" t="s">
        <v>148</v>
      </c>
      <c r="F360" s="6">
        <f t="shared" ref="F360:G360" si="180">F361</f>
        <v>6361.5</v>
      </c>
      <c r="G360" s="6">
        <f t="shared" si="180"/>
        <v>3890.34</v>
      </c>
      <c r="H360" s="6">
        <f t="shared" si="164"/>
        <v>61.154444706437161</v>
      </c>
    </row>
    <row r="361" spans="1:8" ht="31.5" x14ac:dyDescent="0.25">
      <c r="A361" s="25" t="s">
        <v>149</v>
      </c>
      <c r="B361" s="20" t="s">
        <v>250</v>
      </c>
      <c r="C361" s="20" t="s">
        <v>229</v>
      </c>
      <c r="D361" s="20" t="s">
        <v>1098</v>
      </c>
      <c r="E361" s="20" t="s">
        <v>150</v>
      </c>
      <c r="F361" s="6">
        <f>'Пр.4 ведом.20'!G969</f>
        <v>6361.5</v>
      </c>
      <c r="G361" s="6">
        <f>'Пр.4 ведом.20'!H969</f>
        <v>3890.34</v>
      </c>
      <c r="H361" s="6">
        <f t="shared" si="164"/>
        <v>61.154444706437161</v>
      </c>
    </row>
    <row r="362" spans="1:8" ht="15.75" hidden="1" x14ac:dyDescent="0.25">
      <c r="A362" s="25" t="s">
        <v>151</v>
      </c>
      <c r="B362" s="20" t="s">
        <v>250</v>
      </c>
      <c r="C362" s="20" t="s">
        <v>229</v>
      </c>
      <c r="D362" s="20" t="s">
        <v>1098</v>
      </c>
      <c r="E362" s="20" t="s">
        <v>161</v>
      </c>
      <c r="F362" s="6">
        <f>F363</f>
        <v>0</v>
      </c>
      <c r="G362" s="6">
        <f t="shared" ref="G362" si="181">G363</f>
        <v>0</v>
      </c>
      <c r="H362" s="6" t="e">
        <f t="shared" si="164"/>
        <v>#DIV/0!</v>
      </c>
    </row>
    <row r="363" spans="1:8" ht="15.75" hidden="1" x14ac:dyDescent="0.25">
      <c r="A363" s="25" t="s">
        <v>162</v>
      </c>
      <c r="B363" s="20" t="s">
        <v>250</v>
      </c>
      <c r="C363" s="20" t="s">
        <v>229</v>
      </c>
      <c r="D363" s="20" t="s">
        <v>1098</v>
      </c>
      <c r="E363" s="20" t="s">
        <v>163</v>
      </c>
      <c r="F363" s="6">
        <f>'Пр.4 ведом.20'!G971</f>
        <v>0</v>
      </c>
      <c r="G363" s="6">
        <f>'Пр.4 ведом.20'!H971</f>
        <v>0</v>
      </c>
      <c r="H363" s="6" t="e">
        <f t="shared" si="164"/>
        <v>#DIV/0!</v>
      </c>
    </row>
    <row r="364" spans="1:8" ht="47.25" x14ac:dyDescent="0.25">
      <c r="A364" s="23" t="s">
        <v>1171</v>
      </c>
      <c r="B364" s="24" t="s">
        <v>250</v>
      </c>
      <c r="C364" s="24" t="s">
        <v>229</v>
      </c>
      <c r="D364" s="24" t="s">
        <v>1116</v>
      </c>
      <c r="E364" s="24"/>
      <c r="F364" s="4">
        <f>F365+F370+F373+F378</f>
        <v>22200</v>
      </c>
      <c r="G364" s="4">
        <f t="shared" ref="G364" si="182">G365+G370+G373+G378</f>
        <v>0</v>
      </c>
      <c r="H364" s="4">
        <f t="shared" si="164"/>
        <v>0</v>
      </c>
    </row>
    <row r="365" spans="1:8" ht="47.25" x14ac:dyDescent="0.25">
      <c r="A365" s="25" t="s">
        <v>873</v>
      </c>
      <c r="B365" s="20" t="s">
        <v>250</v>
      </c>
      <c r="C365" s="20" t="s">
        <v>229</v>
      </c>
      <c r="D365" s="20" t="s">
        <v>1117</v>
      </c>
      <c r="E365" s="20"/>
      <c r="F365" s="6">
        <f>F366+F368</f>
        <v>22200</v>
      </c>
      <c r="G365" s="6">
        <f t="shared" ref="G365" si="183">G366+G368</f>
        <v>0</v>
      </c>
      <c r="H365" s="6">
        <f t="shared" si="164"/>
        <v>0</v>
      </c>
    </row>
    <row r="366" spans="1:8" ht="31.5" x14ac:dyDescent="0.25">
      <c r="A366" s="25" t="s">
        <v>147</v>
      </c>
      <c r="B366" s="20" t="s">
        <v>250</v>
      </c>
      <c r="C366" s="20" t="s">
        <v>229</v>
      </c>
      <c r="D366" s="20" t="s">
        <v>1117</v>
      </c>
      <c r="E366" s="20" t="s">
        <v>148</v>
      </c>
      <c r="F366" s="6">
        <f>F367</f>
        <v>22200</v>
      </c>
      <c r="G366" s="6">
        <f t="shared" ref="G366" si="184">G367</f>
        <v>0</v>
      </c>
      <c r="H366" s="6">
        <f t="shared" si="164"/>
        <v>0</v>
      </c>
    </row>
    <row r="367" spans="1:8" ht="31.5" x14ac:dyDescent="0.25">
      <c r="A367" s="25" t="s">
        <v>149</v>
      </c>
      <c r="B367" s="20" t="s">
        <v>250</v>
      </c>
      <c r="C367" s="20" t="s">
        <v>229</v>
      </c>
      <c r="D367" s="20" t="s">
        <v>1117</v>
      </c>
      <c r="E367" s="20" t="s">
        <v>150</v>
      </c>
      <c r="F367" s="6">
        <f>'Пр.4 ведом.20'!G975</f>
        <v>22200</v>
      </c>
      <c r="G367" s="6">
        <f>'Пр.4 ведом.20'!H975</f>
        <v>0</v>
      </c>
      <c r="H367" s="6">
        <f t="shared" si="164"/>
        <v>0</v>
      </c>
    </row>
    <row r="368" spans="1:8" ht="15.75" hidden="1" x14ac:dyDescent="0.25">
      <c r="A368" s="25" t="s">
        <v>151</v>
      </c>
      <c r="B368" s="20" t="s">
        <v>250</v>
      </c>
      <c r="C368" s="20" t="s">
        <v>229</v>
      </c>
      <c r="D368" s="20" t="s">
        <v>1117</v>
      </c>
      <c r="E368" s="20" t="s">
        <v>883</v>
      </c>
      <c r="F368" s="6">
        <f>F369</f>
        <v>0</v>
      </c>
      <c r="G368" s="6">
        <f t="shared" ref="G368" si="185">G369</f>
        <v>0</v>
      </c>
      <c r="H368" s="6" t="e">
        <f t="shared" si="164"/>
        <v>#DIV/0!</v>
      </c>
    </row>
    <row r="369" spans="1:8" ht="15.75" hidden="1" x14ac:dyDescent="0.25">
      <c r="A369" s="25" t="s">
        <v>584</v>
      </c>
      <c r="B369" s="20" t="s">
        <v>250</v>
      </c>
      <c r="C369" s="20" t="s">
        <v>229</v>
      </c>
      <c r="D369" s="20" t="s">
        <v>1117</v>
      </c>
      <c r="E369" s="20" t="s">
        <v>1246</v>
      </c>
      <c r="F369" s="6">
        <f>'Пр.4 ведом.20'!G977</f>
        <v>0</v>
      </c>
      <c r="G369" s="6">
        <f>'Пр.4 ведом.20'!H977</f>
        <v>0</v>
      </c>
      <c r="H369" s="6" t="e">
        <f t="shared" si="164"/>
        <v>#DIV/0!</v>
      </c>
    </row>
    <row r="370" spans="1:8" ht="49.7" hidden="1" customHeight="1" x14ac:dyDescent="0.25">
      <c r="A370" s="25" t="s">
        <v>824</v>
      </c>
      <c r="B370" s="20" t="s">
        <v>250</v>
      </c>
      <c r="C370" s="20" t="s">
        <v>229</v>
      </c>
      <c r="D370" s="20" t="s">
        <v>1118</v>
      </c>
      <c r="E370" s="20"/>
      <c r="F370" s="6">
        <f>F371</f>
        <v>0</v>
      </c>
      <c r="G370" s="6">
        <f t="shared" ref="G370:G371" si="186">G371</f>
        <v>0</v>
      </c>
      <c r="H370" s="6" t="e">
        <f t="shared" si="164"/>
        <v>#DIV/0!</v>
      </c>
    </row>
    <row r="371" spans="1:8" ht="31.5" hidden="1" x14ac:dyDescent="0.25">
      <c r="A371" s="25" t="s">
        <v>147</v>
      </c>
      <c r="B371" s="20" t="s">
        <v>250</v>
      </c>
      <c r="C371" s="20" t="s">
        <v>229</v>
      </c>
      <c r="D371" s="20" t="s">
        <v>1118</v>
      </c>
      <c r="E371" s="20" t="s">
        <v>148</v>
      </c>
      <c r="F371" s="6">
        <f>F372</f>
        <v>0</v>
      </c>
      <c r="G371" s="6">
        <f t="shared" si="186"/>
        <v>0</v>
      </c>
      <c r="H371" s="6" t="e">
        <f t="shared" si="164"/>
        <v>#DIV/0!</v>
      </c>
    </row>
    <row r="372" spans="1:8" ht="31.5" hidden="1" x14ac:dyDescent="0.25">
      <c r="A372" s="25" t="s">
        <v>149</v>
      </c>
      <c r="B372" s="20" t="s">
        <v>250</v>
      </c>
      <c r="C372" s="20" t="s">
        <v>229</v>
      </c>
      <c r="D372" s="20" t="s">
        <v>1118</v>
      </c>
      <c r="E372" s="20" t="s">
        <v>150</v>
      </c>
      <c r="F372" s="6">
        <f>'Пр.4 ведом.20'!G980</f>
        <v>0</v>
      </c>
      <c r="G372" s="6">
        <f>'Пр.4 ведом.20'!H980</f>
        <v>0</v>
      </c>
      <c r="H372" s="6" t="e">
        <f t="shared" si="164"/>
        <v>#DIV/0!</v>
      </c>
    </row>
    <row r="373" spans="1:8" ht="47.25" hidden="1" x14ac:dyDescent="0.25">
      <c r="A373" s="98" t="s">
        <v>879</v>
      </c>
      <c r="B373" s="20" t="s">
        <v>250</v>
      </c>
      <c r="C373" s="20" t="s">
        <v>229</v>
      </c>
      <c r="D373" s="20" t="s">
        <v>1119</v>
      </c>
      <c r="E373" s="20"/>
      <c r="F373" s="6">
        <f>F374+F376</f>
        <v>0</v>
      </c>
      <c r="G373" s="6">
        <f t="shared" ref="G373" si="187">G374+G376</f>
        <v>0</v>
      </c>
      <c r="H373" s="6" t="e">
        <f t="shared" si="164"/>
        <v>#DIV/0!</v>
      </c>
    </row>
    <row r="374" spans="1:8" ht="31.5" hidden="1" x14ac:dyDescent="0.25">
      <c r="A374" s="25" t="s">
        <v>884</v>
      </c>
      <c r="B374" s="20" t="s">
        <v>250</v>
      </c>
      <c r="C374" s="20" t="s">
        <v>229</v>
      </c>
      <c r="D374" s="20" t="s">
        <v>1119</v>
      </c>
      <c r="E374" s="20" t="s">
        <v>883</v>
      </c>
      <c r="F374" s="6">
        <f>F375</f>
        <v>0</v>
      </c>
      <c r="G374" s="6">
        <f t="shared" ref="G374" si="188">G375</f>
        <v>0</v>
      </c>
      <c r="H374" s="6" t="e">
        <f t="shared" si="164"/>
        <v>#DIV/0!</v>
      </c>
    </row>
    <row r="375" spans="1:8" ht="31.7" hidden="1" customHeight="1" x14ac:dyDescent="0.25">
      <c r="A375" s="25" t="s">
        <v>1224</v>
      </c>
      <c r="B375" s="20" t="s">
        <v>250</v>
      </c>
      <c r="C375" s="20" t="s">
        <v>229</v>
      </c>
      <c r="D375" s="20" t="s">
        <v>1119</v>
      </c>
      <c r="E375" s="20" t="s">
        <v>1246</v>
      </c>
      <c r="F375" s="6">
        <f>'Пр.4 ведом.20'!G983</f>
        <v>0</v>
      </c>
      <c r="G375" s="6">
        <f>'Пр.4 ведом.20'!H983</f>
        <v>0</v>
      </c>
      <c r="H375" s="6" t="e">
        <f t="shared" si="164"/>
        <v>#DIV/0!</v>
      </c>
    </row>
    <row r="376" spans="1:8" ht="21.2" hidden="1" customHeight="1" x14ac:dyDescent="0.25">
      <c r="A376" s="25" t="s">
        <v>151</v>
      </c>
      <c r="B376" s="20" t="s">
        <v>250</v>
      </c>
      <c r="C376" s="20" t="s">
        <v>229</v>
      </c>
      <c r="D376" s="20" t="s">
        <v>1119</v>
      </c>
      <c r="E376" s="20" t="s">
        <v>161</v>
      </c>
      <c r="F376" s="6">
        <f>F377</f>
        <v>0</v>
      </c>
      <c r="G376" s="6">
        <f t="shared" ref="G376" si="189">G377</f>
        <v>0</v>
      </c>
      <c r="H376" s="6" t="e">
        <f t="shared" si="164"/>
        <v>#DIV/0!</v>
      </c>
    </row>
    <row r="377" spans="1:8" ht="21.75" hidden="1" customHeight="1" x14ac:dyDescent="0.25">
      <c r="A377" s="25" t="s">
        <v>727</v>
      </c>
      <c r="B377" s="20" t="s">
        <v>250</v>
      </c>
      <c r="C377" s="20" t="s">
        <v>229</v>
      </c>
      <c r="D377" s="20" t="s">
        <v>1119</v>
      </c>
      <c r="E377" s="20" t="s">
        <v>154</v>
      </c>
      <c r="F377" s="6">
        <f>'Пр.4 ведом.20'!G985</f>
        <v>0</v>
      </c>
      <c r="G377" s="6">
        <f>'Пр.4 ведом.20'!H985</f>
        <v>0</v>
      </c>
      <c r="H377" s="6" t="e">
        <f t="shared" si="164"/>
        <v>#DIV/0!</v>
      </c>
    </row>
    <row r="378" spans="1:8" ht="31.5" hidden="1" x14ac:dyDescent="0.25">
      <c r="A378" s="25" t="s">
        <v>1247</v>
      </c>
      <c r="B378" s="20" t="s">
        <v>250</v>
      </c>
      <c r="C378" s="20" t="s">
        <v>229</v>
      </c>
      <c r="D378" s="20" t="s">
        <v>1248</v>
      </c>
      <c r="E378" s="20"/>
      <c r="F378" s="6">
        <f t="shared" ref="F378:G379" si="190">F379</f>
        <v>0</v>
      </c>
      <c r="G378" s="6">
        <f t="shared" si="190"/>
        <v>0</v>
      </c>
      <c r="H378" s="6" t="e">
        <f t="shared" si="164"/>
        <v>#DIV/0!</v>
      </c>
    </row>
    <row r="379" spans="1:8" ht="31.5" hidden="1" x14ac:dyDescent="0.25">
      <c r="A379" s="25" t="s">
        <v>147</v>
      </c>
      <c r="B379" s="20" t="s">
        <v>250</v>
      </c>
      <c r="C379" s="20" t="s">
        <v>229</v>
      </c>
      <c r="D379" s="20" t="s">
        <v>1248</v>
      </c>
      <c r="E379" s="20" t="s">
        <v>148</v>
      </c>
      <c r="F379" s="6">
        <f t="shared" si="190"/>
        <v>0</v>
      </c>
      <c r="G379" s="6">
        <f t="shared" si="190"/>
        <v>0</v>
      </c>
      <c r="H379" s="6" t="e">
        <f t="shared" si="164"/>
        <v>#DIV/0!</v>
      </c>
    </row>
    <row r="380" spans="1:8" ht="31.5" hidden="1" x14ac:dyDescent="0.25">
      <c r="A380" s="25" t="s">
        <v>149</v>
      </c>
      <c r="B380" s="20" t="s">
        <v>250</v>
      </c>
      <c r="C380" s="20" t="s">
        <v>229</v>
      </c>
      <c r="D380" s="20" t="s">
        <v>1248</v>
      </c>
      <c r="E380" s="20" t="s">
        <v>150</v>
      </c>
      <c r="F380" s="6">
        <f>'Пр.4 ведом.20'!G988</f>
        <v>0</v>
      </c>
      <c r="G380" s="6">
        <f>'Пр.4 ведом.20'!H988</f>
        <v>0</v>
      </c>
      <c r="H380" s="6" t="e">
        <f t="shared" si="164"/>
        <v>#DIV/0!</v>
      </c>
    </row>
    <row r="381" spans="1:8" ht="63" x14ac:dyDescent="0.25">
      <c r="A381" s="23" t="s">
        <v>1178</v>
      </c>
      <c r="B381" s="24" t="s">
        <v>250</v>
      </c>
      <c r="C381" s="24" t="s">
        <v>229</v>
      </c>
      <c r="D381" s="24" t="s">
        <v>534</v>
      </c>
      <c r="E381" s="24"/>
      <c r="F381" s="4">
        <f>F382+F386+F390+F394+F398+F402+F406</f>
        <v>129</v>
      </c>
      <c r="G381" s="4">
        <f t="shared" ref="G381" si="191">G382+G386+G390+G394+G398+G402+G406</f>
        <v>129</v>
      </c>
      <c r="H381" s="4">
        <f t="shared" si="164"/>
        <v>100</v>
      </c>
    </row>
    <row r="382" spans="1:8" ht="31.5" hidden="1" x14ac:dyDescent="0.25">
      <c r="A382" s="23" t="s">
        <v>1099</v>
      </c>
      <c r="B382" s="24" t="s">
        <v>250</v>
      </c>
      <c r="C382" s="24" t="s">
        <v>229</v>
      </c>
      <c r="D382" s="24" t="s">
        <v>1101</v>
      </c>
      <c r="E382" s="24"/>
      <c r="F382" s="4">
        <f>F383</f>
        <v>0</v>
      </c>
      <c r="G382" s="4">
        <f t="shared" ref="G382" si="192">G383</f>
        <v>0</v>
      </c>
      <c r="H382" s="4" t="e">
        <f t="shared" si="164"/>
        <v>#DIV/0!</v>
      </c>
    </row>
    <row r="383" spans="1:8" ht="15.75" hidden="1" x14ac:dyDescent="0.25">
      <c r="A383" s="45" t="s">
        <v>1100</v>
      </c>
      <c r="B383" s="40" t="s">
        <v>250</v>
      </c>
      <c r="C383" s="40" t="s">
        <v>229</v>
      </c>
      <c r="D383" s="20" t="s">
        <v>1102</v>
      </c>
      <c r="E383" s="40"/>
      <c r="F383" s="6">
        <f t="shared" ref="F383:G384" si="193">F384</f>
        <v>0</v>
      </c>
      <c r="G383" s="6">
        <f t="shared" si="193"/>
        <v>0</v>
      </c>
      <c r="H383" s="4" t="e">
        <f t="shared" si="164"/>
        <v>#DIV/0!</v>
      </c>
    </row>
    <row r="384" spans="1:8" ht="31.5" hidden="1" x14ac:dyDescent="0.25">
      <c r="A384" s="31" t="s">
        <v>147</v>
      </c>
      <c r="B384" s="40" t="s">
        <v>250</v>
      </c>
      <c r="C384" s="40" t="s">
        <v>229</v>
      </c>
      <c r="D384" s="20" t="s">
        <v>1102</v>
      </c>
      <c r="E384" s="40" t="s">
        <v>148</v>
      </c>
      <c r="F384" s="6">
        <f t="shared" si="193"/>
        <v>0</v>
      </c>
      <c r="G384" s="6">
        <f t="shared" si="193"/>
        <v>0</v>
      </c>
      <c r="H384" s="4" t="e">
        <f t="shared" si="164"/>
        <v>#DIV/0!</v>
      </c>
    </row>
    <row r="385" spans="1:8" ht="31.5" hidden="1" x14ac:dyDescent="0.25">
      <c r="A385" s="31" t="s">
        <v>149</v>
      </c>
      <c r="B385" s="40" t="s">
        <v>250</v>
      </c>
      <c r="C385" s="40" t="s">
        <v>229</v>
      </c>
      <c r="D385" s="20" t="s">
        <v>1102</v>
      </c>
      <c r="E385" s="40" t="s">
        <v>150</v>
      </c>
      <c r="F385" s="6">
        <f>'Пр.4 ведом.20'!G993</f>
        <v>0</v>
      </c>
      <c r="G385" s="6">
        <f>'Пр.4 ведом.20'!H993</f>
        <v>0</v>
      </c>
      <c r="H385" s="4" t="e">
        <f t="shared" si="164"/>
        <v>#DIV/0!</v>
      </c>
    </row>
    <row r="386" spans="1:8" ht="31.5" x14ac:dyDescent="0.25">
      <c r="A386" s="34" t="s">
        <v>1103</v>
      </c>
      <c r="B386" s="7" t="s">
        <v>250</v>
      </c>
      <c r="C386" s="7" t="s">
        <v>229</v>
      </c>
      <c r="D386" s="24" t="s">
        <v>1104</v>
      </c>
      <c r="E386" s="7"/>
      <c r="F386" s="4">
        <f>F387</f>
        <v>85</v>
      </c>
      <c r="G386" s="4">
        <f t="shared" ref="G386:G388" si="194">G387</f>
        <v>85</v>
      </c>
      <c r="H386" s="4">
        <f t="shared" si="164"/>
        <v>100</v>
      </c>
    </row>
    <row r="387" spans="1:8" ht="15.75" x14ac:dyDescent="0.25">
      <c r="A387" s="45" t="s">
        <v>539</v>
      </c>
      <c r="B387" s="40" t="s">
        <v>250</v>
      </c>
      <c r="C387" s="40" t="s">
        <v>229</v>
      </c>
      <c r="D387" s="20" t="s">
        <v>1107</v>
      </c>
      <c r="E387" s="40"/>
      <c r="F387" s="6">
        <f>F388</f>
        <v>85</v>
      </c>
      <c r="G387" s="6">
        <f t="shared" si="194"/>
        <v>85</v>
      </c>
      <c r="H387" s="6">
        <f t="shared" si="164"/>
        <v>100</v>
      </c>
    </row>
    <row r="388" spans="1:8" ht="31.5" x14ac:dyDescent="0.25">
      <c r="A388" s="31" t="s">
        <v>147</v>
      </c>
      <c r="B388" s="40" t="s">
        <v>250</v>
      </c>
      <c r="C388" s="40" t="s">
        <v>229</v>
      </c>
      <c r="D388" s="20" t="s">
        <v>1107</v>
      </c>
      <c r="E388" s="40" t="s">
        <v>148</v>
      </c>
      <c r="F388" s="6">
        <f>F389</f>
        <v>85</v>
      </c>
      <c r="G388" s="6">
        <f t="shared" si="194"/>
        <v>85</v>
      </c>
      <c r="H388" s="6">
        <f t="shared" si="164"/>
        <v>100</v>
      </c>
    </row>
    <row r="389" spans="1:8" ht="31.5" x14ac:dyDescent="0.25">
      <c r="A389" s="31" t="s">
        <v>149</v>
      </c>
      <c r="B389" s="40" t="s">
        <v>250</v>
      </c>
      <c r="C389" s="40" t="s">
        <v>229</v>
      </c>
      <c r="D389" s="20" t="s">
        <v>1107</v>
      </c>
      <c r="E389" s="40" t="s">
        <v>150</v>
      </c>
      <c r="F389" s="6">
        <f>'Пр.4 ведом.20'!G997</f>
        <v>85</v>
      </c>
      <c r="G389" s="6">
        <f>'Пр.4 ведом.20'!H997</f>
        <v>85</v>
      </c>
      <c r="H389" s="6">
        <f t="shared" si="164"/>
        <v>100</v>
      </c>
    </row>
    <row r="390" spans="1:8" ht="31.5" hidden="1" x14ac:dyDescent="0.25">
      <c r="A390" s="58" t="s">
        <v>1105</v>
      </c>
      <c r="B390" s="7" t="s">
        <v>250</v>
      </c>
      <c r="C390" s="7" t="s">
        <v>229</v>
      </c>
      <c r="D390" s="24" t="s">
        <v>1106</v>
      </c>
      <c r="E390" s="7"/>
      <c r="F390" s="4">
        <f>F391</f>
        <v>0</v>
      </c>
      <c r="G390" s="4">
        <f t="shared" ref="G390:G392" si="195">G391</f>
        <v>0</v>
      </c>
      <c r="H390" s="6" t="e">
        <f t="shared" si="164"/>
        <v>#DIV/0!</v>
      </c>
    </row>
    <row r="391" spans="1:8" ht="15.75" hidden="1" x14ac:dyDescent="0.25">
      <c r="A391" s="45" t="s">
        <v>541</v>
      </c>
      <c r="B391" s="40" t="s">
        <v>250</v>
      </c>
      <c r="C391" s="40" t="s">
        <v>229</v>
      </c>
      <c r="D391" s="20" t="s">
        <v>1108</v>
      </c>
      <c r="E391" s="40"/>
      <c r="F391" s="6">
        <f>F392</f>
        <v>0</v>
      </c>
      <c r="G391" s="6">
        <f t="shared" si="195"/>
        <v>0</v>
      </c>
      <c r="H391" s="6" t="e">
        <f t="shared" si="164"/>
        <v>#DIV/0!</v>
      </c>
    </row>
    <row r="392" spans="1:8" ht="31.5" hidden="1" x14ac:dyDescent="0.25">
      <c r="A392" s="31" t="s">
        <v>147</v>
      </c>
      <c r="B392" s="40" t="s">
        <v>250</v>
      </c>
      <c r="C392" s="40" t="s">
        <v>229</v>
      </c>
      <c r="D392" s="20" t="s">
        <v>1108</v>
      </c>
      <c r="E392" s="40" t="s">
        <v>148</v>
      </c>
      <c r="F392" s="6">
        <f>F393</f>
        <v>0</v>
      </c>
      <c r="G392" s="6">
        <f t="shared" si="195"/>
        <v>0</v>
      </c>
      <c r="H392" s="6" t="e">
        <f t="shared" si="164"/>
        <v>#DIV/0!</v>
      </c>
    </row>
    <row r="393" spans="1:8" ht="31.5" hidden="1" x14ac:dyDescent="0.25">
      <c r="A393" s="31" t="s">
        <v>149</v>
      </c>
      <c r="B393" s="40" t="s">
        <v>250</v>
      </c>
      <c r="C393" s="40" t="s">
        <v>229</v>
      </c>
      <c r="D393" s="20" t="s">
        <v>1108</v>
      </c>
      <c r="E393" s="40" t="s">
        <v>150</v>
      </c>
      <c r="F393" s="6">
        <f>'Пр.4 ведом.20'!G1001</f>
        <v>0</v>
      </c>
      <c r="G393" s="6">
        <f>'Пр.4 ведом.20'!H1001</f>
        <v>0</v>
      </c>
      <c r="H393" s="6" t="e">
        <f t="shared" si="164"/>
        <v>#DIV/0!</v>
      </c>
    </row>
    <row r="394" spans="1:8" ht="31.5" x14ac:dyDescent="0.25">
      <c r="A394" s="58" t="s">
        <v>1109</v>
      </c>
      <c r="B394" s="7" t="s">
        <v>250</v>
      </c>
      <c r="C394" s="7" t="s">
        <v>229</v>
      </c>
      <c r="D394" s="24" t="s">
        <v>1110</v>
      </c>
      <c r="E394" s="7"/>
      <c r="F394" s="4">
        <f>F395</f>
        <v>44</v>
      </c>
      <c r="G394" s="4">
        <f t="shared" ref="G394:G396" si="196">G395</f>
        <v>44</v>
      </c>
      <c r="H394" s="4">
        <f t="shared" si="164"/>
        <v>100</v>
      </c>
    </row>
    <row r="395" spans="1:8" ht="15.75" x14ac:dyDescent="0.25">
      <c r="A395" s="45" t="s">
        <v>543</v>
      </c>
      <c r="B395" s="40" t="s">
        <v>250</v>
      </c>
      <c r="C395" s="40" t="s">
        <v>229</v>
      </c>
      <c r="D395" s="20" t="s">
        <v>1111</v>
      </c>
      <c r="E395" s="40"/>
      <c r="F395" s="6">
        <f>F396</f>
        <v>44</v>
      </c>
      <c r="G395" s="6">
        <f t="shared" si="196"/>
        <v>44</v>
      </c>
      <c r="H395" s="6">
        <f t="shared" ref="H395:H458" si="197">G395/F395*100</f>
        <v>100</v>
      </c>
    </row>
    <row r="396" spans="1:8" ht="31.5" x14ac:dyDescent="0.25">
      <c r="A396" s="31" t="s">
        <v>147</v>
      </c>
      <c r="B396" s="40" t="s">
        <v>250</v>
      </c>
      <c r="C396" s="40" t="s">
        <v>229</v>
      </c>
      <c r="D396" s="20" t="s">
        <v>1111</v>
      </c>
      <c r="E396" s="40" t="s">
        <v>148</v>
      </c>
      <c r="F396" s="6">
        <f>F397</f>
        <v>44</v>
      </c>
      <c r="G396" s="6">
        <f t="shared" si="196"/>
        <v>44</v>
      </c>
      <c r="H396" s="6">
        <f t="shared" si="197"/>
        <v>100</v>
      </c>
    </row>
    <row r="397" spans="1:8" ht="31.5" x14ac:dyDescent="0.25">
      <c r="A397" s="31" t="s">
        <v>149</v>
      </c>
      <c r="B397" s="40" t="s">
        <v>250</v>
      </c>
      <c r="C397" s="40" t="s">
        <v>229</v>
      </c>
      <c r="D397" s="20" t="s">
        <v>1111</v>
      </c>
      <c r="E397" s="40" t="s">
        <v>150</v>
      </c>
      <c r="F397" s="6">
        <f>'Пр.4 ведом.20'!G1005</f>
        <v>44</v>
      </c>
      <c r="G397" s="6">
        <f>'Пр.4 ведом.20'!H1005</f>
        <v>44</v>
      </c>
      <c r="H397" s="6">
        <f t="shared" si="197"/>
        <v>100</v>
      </c>
    </row>
    <row r="398" spans="1:8" ht="31.5" hidden="1" x14ac:dyDescent="0.25">
      <c r="A398" s="34" t="s">
        <v>1172</v>
      </c>
      <c r="B398" s="7" t="s">
        <v>250</v>
      </c>
      <c r="C398" s="7" t="s">
        <v>229</v>
      </c>
      <c r="D398" s="24" t="s">
        <v>1173</v>
      </c>
      <c r="E398" s="7"/>
      <c r="F398" s="4">
        <f>F399</f>
        <v>0</v>
      </c>
      <c r="G398" s="4">
        <f t="shared" ref="G398:G400" si="198">G399</f>
        <v>0</v>
      </c>
      <c r="H398" s="6" t="e">
        <f t="shared" si="197"/>
        <v>#DIV/0!</v>
      </c>
    </row>
    <row r="399" spans="1:8" ht="18" hidden="1" customHeight="1" x14ac:dyDescent="0.25">
      <c r="A399" s="45" t="s">
        <v>545</v>
      </c>
      <c r="B399" s="40" t="s">
        <v>250</v>
      </c>
      <c r="C399" s="40" t="s">
        <v>229</v>
      </c>
      <c r="D399" s="20" t="s">
        <v>1176</v>
      </c>
      <c r="E399" s="40"/>
      <c r="F399" s="6">
        <f>F400</f>
        <v>0</v>
      </c>
      <c r="G399" s="6">
        <f t="shared" si="198"/>
        <v>0</v>
      </c>
      <c r="H399" s="6" t="e">
        <f t="shared" si="197"/>
        <v>#DIV/0!</v>
      </c>
    </row>
    <row r="400" spans="1:8" ht="31.5" hidden="1" x14ac:dyDescent="0.25">
      <c r="A400" s="31" t="s">
        <v>147</v>
      </c>
      <c r="B400" s="40" t="s">
        <v>250</v>
      </c>
      <c r="C400" s="40" t="s">
        <v>229</v>
      </c>
      <c r="D400" s="20" t="s">
        <v>1176</v>
      </c>
      <c r="E400" s="40" t="s">
        <v>148</v>
      </c>
      <c r="F400" s="6">
        <f>F401</f>
        <v>0</v>
      </c>
      <c r="G400" s="6">
        <f t="shared" si="198"/>
        <v>0</v>
      </c>
      <c r="H400" s="6" t="e">
        <f t="shared" si="197"/>
        <v>#DIV/0!</v>
      </c>
    </row>
    <row r="401" spans="1:8" ht="31.5" hidden="1" x14ac:dyDescent="0.25">
      <c r="A401" s="31" t="s">
        <v>149</v>
      </c>
      <c r="B401" s="40" t="s">
        <v>250</v>
      </c>
      <c r="C401" s="40" t="s">
        <v>229</v>
      </c>
      <c r="D401" s="20" t="s">
        <v>1176</v>
      </c>
      <c r="E401" s="40" t="s">
        <v>150</v>
      </c>
      <c r="F401" s="6">
        <f>'Пр.4 ведом.20'!G1009</f>
        <v>0</v>
      </c>
      <c r="G401" s="6">
        <f>'Пр.4 ведом.20'!H1009</f>
        <v>0</v>
      </c>
      <c r="H401" s="6" t="e">
        <f t="shared" si="197"/>
        <v>#DIV/0!</v>
      </c>
    </row>
    <row r="402" spans="1:8" ht="31.5" hidden="1" x14ac:dyDescent="0.25">
      <c r="A402" s="232" t="s">
        <v>1174</v>
      </c>
      <c r="B402" s="7" t="s">
        <v>250</v>
      </c>
      <c r="C402" s="7" t="s">
        <v>229</v>
      </c>
      <c r="D402" s="24" t="s">
        <v>1175</v>
      </c>
      <c r="E402" s="7"/>
      <c r="F402" s="4">
        <f>F403</f>
        <v>0</v>
      </c>
      <c r="G402" s="4">
        <f t="shared" ref="G402:G404" si="199">G403</f>
        <v>0</v>
      </c>
      <c r="H402" s="6" t="e">
        <f t="shared" si="197"/>
        <v>#DIV/0!</v>
      </c>
    </row>
    <row r="403" spans="1:8" ht="31.5" hidden="1" x14ac:dyDescent="0.25">
      <c r="A403" s="178" t="s">
        <v>547</v>
      </c>
      <c r="B403" s="40" t="s">
        <v>250</v>
      </c>
      <c r="C403" s="40" t="s">
        <v>229</v>
      </c>
      <c r="D403" s="20" t="s">
        <v>1177</v>
      </c>
      <c r="E403" s="40"/>
      <c r="F403" s="6">
        <f>F404</f>
        <v>0</v>
      </c>
      <c r="G403" s="6">
        <f t="shared" si="199"/>
        <v>0</v>
      </c>
      <c r="H403" s="6" t="e">
        <f t="shared" si="197"/>
        <v>#DIV/0!</v>
      </c>
    </row>
    <row r="404" spans="1:8" ht="31.5" hidden="1" x14ac:dyDescent="0.25">
      <c r="A404" s="31" t="s">
        <v>147</v>
      </c>
      <c r="B404" s="40" t="s">
        <v>250</v>
      </c>
      <c r="C404" s="40" t="s">
        <v>229</v>
      </c>
      <c r="D404" s="20" t="s">
        <v>1177</v>
      </c>
      <c r="E404" s="40" t="s">
        <v>148</v>
      </c>
      <c r="F404" s="6">
        <f>F405</f>
        <v>0</v>
      </c>
      <c r="G404" s="6">
        <f t="shared" si="199"/>
        <v>0</v>
      </c>
      <c r="H404" s="6" t="e">
        <f t="shared" si="197"/>
        <v>#DIV/0!</v>
      </c>
    </row>
    <row r="405" spans="1:8" ht="31.5" hidden="1" x14ac:dyDescent="0.25">
      <c r="A405" s="31" t="s">
        <v>149</v>
      </c>
      <c r="B405" s="40" t="s">
        <v>250</v>
      </c>
      <c r="C405" s="40" t="s">
        <v>229</v>
      </c>
      <c r="D405" s="20" t="s">
        <v>1177</v>
      </c>
      <c r="E405" s="40" t="s">
        <v>150</v>
      </c>
      <c r="F405" s="6">
        <f>'Пр.4 ведом.20'!G1013</f>
        <v>0</v>
      </c>
      <c r="G405" s="6">
        <f>'Пр.4 ведом.20'!H1013</f>
        <v>0</v>
      </c>
      <c r="H405" s="6" t="e">
        <f t="shared" si="197"/>
        <v>#DIV/0!</v>
      </c>
    </row>
    <row r="406" spans="1:8" ht="31.5" hidden="1" x14ac:dyDescent="0.25">
      <c r="A406" s="232" t="s">
        <v>1113</v>
      </c>
      <c r="B406" s="7" t="s">
        <v>250</v>
      </c>
      <c r="C406" s="7" t="s">
        <v>229</v>
      </c>
      <c r="D406" s="24" t="s">
        <v>1114</v>
      </c>
      <c r="E406" s="7"/>
      <c r="F406" s="4">
        <f>F407</f>
        <v>0</v>
      </c>
      <c r="G406" s="4">
        <f t="shared" ref="G406:G408" si="200">G407</f>
        <v>0</v>
      </c>
      <c r="H406" s="6" t="e">
        <f t="shared" si="197"/>
        <v>#DIV/0!</v>
      </c>
    </row>
    <row r="407" spans="1:8" ht="15.75" hidden="1" x14ac:dyDescent="0.25">
      <c r="A407" s="178" t="s">
        <v>549</v>
      </c>
      <c r="B407" s="40" t="s">
        <v>250</v>
      </c>
      <c r="C407" s="40" t="s">
        <v>229</v>
      </c>
      <c r="D407" s="20" t="s">
        <v>1112</v>
      </c>
      <c r="E407" s="40"/>
      <c r="F407" s="6">
        <f>F408</f>
        <v>0</v>
      </c>
      <c r="G407" s="6">
        <f t="shared" si="200"/>
        <v>0</v>
      </c>
      <c r="H407" s="6" t="e">
        <f t="shared" si="197"/>
        <v>#DIV/0!</v>
      </c>
    </row>
    <row r="408" spans="1:8" ht="31.5" hidden="1" x14ac:dyDescent="0.25">
      <c r="A408" s="25" t="s">
        <v>147</v>
      </c>
      <c r="B408" s="40" t="s">
        <v>250</v>
      </c>
      <c r="C408" s="40" t="s">
        <v>229</v>
      </c>
      <c r="D408" s="20" t="s">
        <v>1112</v>
      </c>
      <c r="E408" s="40" t="s">
        <v>148</v>
      </c>
      <c r="F408" s="6">
        <f>F409</f>
        <v>0</v>
      </c>
      <c r="G408" s="6">
        <f t="shared" si="200"/>
        <v>0</v>
      </c>
      <c r="H408" s="6" t="e">
        <f t="shared" si="197"/>
        <v>#DIV/0!</v>
      </c>
    </row>
    <row r="409" spans="1:8" s="217" customFormat="1" ht="31.5" hidden="1" x14ac:dyDescent="0.25">
      <c r="A409" s="25" t="s">
        <v>149</v>
      </c>
      <c r="B409" s="40" t="s">
        <v>250</v>
      </c>
      <c r="C409" s="40" t="s">
        <v>229</v>
      </c>
      <c r="D409" s="20" t="s">
        <v>1112</v>
      </c>
      <c r="E409" s="40" t="s">
        <v>150</v>
      </c>
      <c r="F409" s="6">
        <f>'Пр.4 ведом.20'!G1017</f>
        <v>0</v>
      </c>
      <c r="G409" s="6">
        <f>'Пр.4 ведом.20'!H1017</f>
        <v>0</v>
      </c>
      <c r="H409" s="6" t="e">
        <f t="shared" si="197"/>
        <v>#DIV/0!</v>
      </c>
    </row>
    <row r="410" spans="1:8" s="217" customFormat="1" ht="47.25" hidden="1" x14ac:dyDescent="0.25">
      <c r="A410" s="23" t="s">
        <v>1363</v>
      </c>
      <c r="B410" s="7" t="s">
        <v>250</v>
      </c>
      <c r="C410" s="7" t="s">
        <v>229</v>
      </c>
      <c r="D410" s="24" t="s">
        <v>1362</v>
      </c>
      <c r="E410" s="7"/>
      <c r="F410" s="4">
        <f>F411</f>
        <v>0</v>
      </c>
      <c r="G410" s="4">
        <f t="shared" ref="G410:G413" si="201">G411</f>
        <v>0</v>
      </c>
      <c r="H410" s="6" t="e">
        <f t="shared" si="197"/>
        <v>#DIV/0!</v>
      </c>
    </row>
    <row r="411" spans="1:8" s="217" customFormat="1" ht="31.5" hidden="1" x14ac:dyDescent="0.25">
      <c r="A411" s="23" t="s">
        <v>1364</v>
      </c>
      <c r="B411" s="7" t="s">
        <v>250</v>
      </c>
      <c r="C411" s="7" t="s">
        <v>229</v>
      </c>
      <c r="D411" s="24" t="s">
        <v>1365</v>
      </c>
      <c r="E411" s="7"/>
      <c r="F411" s="4">
        <f>F412</f>
        <v>0</v>
      </c>
      <c r="G411" s="4">
        <f t="shared" si="201"/>
        <v>0</v>
      </c>
      <c r="H411" s="6" t="e">
        <f t="shared" si="197"/>
        <v>#DIV/0!</v>
      </c>
    </row>
    <row r="412" spans="1:8" s="217" customFormat="1" ht="15.75" hidden="1" x14ac:dyDescent="0.25">
      <c r="A412" s="25" t="s">
        <v>553</v>
      </c>
      <c r="B412" s="40" t="s">
        <v>250</v>
      </c>
      <c r="C412" s="40" t="s">
        <v>229</v>
      </c>
      <c r="D412" s="20" t="s">
        <v>1366</v>
      </c>
      <c r="E412" s="40"/>
      <c r="F412" s="6">
        <f>F413</f>
        <v>0</v>
      </c>
      <c r="G412" s="6">
        <f t="shared" si="201"/>
        <v>0</v>
      </c>
      <c r="H412" s="6" t="e">
        <f t="shared" si="197"/>
        <v>#DIV/0!</v>
      </c>
    </row>
    <row r="413" spans="1:8" s="217" customFormat="1" ht="31.5" hidden="1" x14ac:dyDescent="0.25">
      <c r="A413" s="25" t="s">
        <v>147</v>
      </c>
      <c r="B413" s="40" t="s">
        <v>250</v>
      </c>
      <c r="C413" s="40" t="s">
        <v>229</v>
      </c>
      <c r="D413" s="20" t="s">
        <v>1366</v>
      </c>
      <c r="E413" s="40" t="s">
        <v>148</v>
      </c>
      <c r="F413" s="6">
        <f>F414</f>
        <v>0</v>
      </c>
      <c r="G413" s="6">
        <f t="shared" si="201"/>
        <v>0</v>
      </c>
      <c r="H413" s="6" t="e">
        <f t="shared" si="197"/>
        <v>#DIV/0!</v>
      </c>
    </row>
    <row r="414" spans="1:8" s="217" customFormat="1" ht="31.5" hidden="1" x14ac:dyDescent="0.25">
      <c r="A414" s="25" t="s">
        <v>149</v>
      </c>
      <c r="B414" s="40" t="s">
        <v>250</v>
      </c>
      <c r="C414" s="40" t="s">
        <v>229</v>
      </c>
      <c r="D414" s="20" t="s">
        <v>1366</v>
      </c>
      <c r="E414" s="40" t="s">
        <v>150</v>
      </c>
      <c r="F414" s="6">
        <f>'Пр.4 ведом.20'!G1022</f>
        <v>0</v>
      </c>
      <c r="G414" s="6">
        <f>'Пр.4 ведом.20'!H1022</f>
        <v>0</v>
      </c>
      <c r="H414" s="6" t="e">
        <f t="shared" si="197"/>
        <v>#DIV/0!</v>
      </c>
    </row>
    <row r="415" spans="1:8" ht="15.75" x14ac:dyDescent="0.25">
      <c r="A415" s="41" t="s">
        <v>557</v>
      </c>
      <c r="B415" s="7" t="s">
        <v>250</v>
      </c>
      <c r="C415" s="7" t="s">
        <v>231</v>
      </c>
      <c r="D415" s="7"/>
      <c r="E415" s="7"/>
      <c r="F415" s="4">
        <f>F416+F423+F461</f>
        <v>4384.2000000000007</v>
      </c>
      <c r="G415" s="4">
        <f t="shared" ref="G415" si="202">G416+G423+G461</f>
        <v>837.69</v>
      </c>
      <c r="H415" s="4">
        <f t="shared" si="197"/>
        <v>19.107020665115641</v>
      </c>
    </row>
    <row r="416" spans="1:8" s="217" customFormat="1" ht="15.75" x14ac:dyDescent="0.25">
      <c r="A416" s="23" t="s">
        <v>157</v>
      </c>
      <c r="B416" s="24" t="s">
        <v>250</v>
      </c>
      <c r="C416" s="24" t="s">
        <v>231</v>
      </c>
      <c r="D416" s="24" t="s">
        <v>912</v>
      </c>
      <c r="E416" s="24"/>
      <c r="F416" s="4">
        <f>F417</f>
        <v>420</v>
      </c>
      <c r="G416" s="4">
        <f t="shared" ref="G416:G417" si="203">G417</f>
        <v>30</v>
      </c>
      <c r="H416" s="4">
        <f t="shared" si="197"/>
        <v>7.1428571428571423</v>
      </c>
    </row>
    <row r="417" spans="1:8" s="217" customFormat="1" ht="31.5" x14ac:dyDescent="0.25">
      <c r="A417" s="23" t="s">
        <v>916</v>
      </c>
      <c r="B417" s="24" t="s">
        <v>250</v>
      </c>
      <c r="C417" s="24" t="s">
        <v>231</v>
      </c>
      <c r="D417" s="24" t="s">
        <v>911</v>
      </c>
      <c r="E417" s="24"/>
      <c r="F417" s="4">
        <f>F418</f>
        <v>420</v>
      </c>
      <c r="G417" s="4">
        <f t="shared" si="203"/>
        <v>30</v>
      </c>
      <c r="H417" s="4">
        <f t="shared" si="197"/>
        <v>7.1428571428571423</v>
      </c>
    </row>
    <row r="418" spans="1:8" s="217" customFormat="1" ht="15.75" x14ac:dyDescent="0.25">
      <c r="A418" s="25" t="s">
        <v>580</v>
      </c>
      <c r="B418" s="20" t="s">
        <v>250</v>
      </c>
      <c r="C418" s="20" t="s">
        <v>231</v>
      </c>
      <c r="D418" s="20" t="s">
        <v>1261</v>
      </c>
      <c r="E418" s="20"/>
      <c r="F418" s="6">
        <f>F419+F421</f>
        <v>420</v>
      </c>
      <c r="G418" s="6">
        <f t="shared" ref="G418" si="204">G419+G421</f>
        <v>30</v>
      </c>
      <c r="H418" s="6">
        <f t="shared" si="197"/>
        <v>7.1428571428571423</v>
      </c>
    </row>
    <row r="419" spans="1:8" s="217" customFormat="1" ht="31.5" x14ac:dyDescent="0.25">
      <c r="A419" s="25" t="s">
        <v>147</v>
      </c>
      <c r="B419" s="20" t="s">
        <v>250</v>
      </c>
      <c r="C419" s="20" t="s">
        <v>231</v>
      </c>
      <c r="D419" s="20" t="s">
        <v>1261</v>
      </c>
      <c r="E419" s="20" t="s">
        <v>148</v>
      </c>
      <c r="F419" s="6">
        <f>F420</f>
        <v>390</v>
      </c>
      <c r="G419" s="6">
        <f t="shared" ref="G419" si="205">G420</f>
        <v>0</v>
      </c>
      <c r="H419" s="6">
        <f t="shared" si="197"/>
        <v>0</v>
      </c>
    </row>
    <row r="420" spans="1:8" s="217" customFormat="1" ht="31.5" x14ac:dyDescent="0.25">
      <c r="A420" s="25" t="s">
        <v>149</v>
      </c>
      <c r="B420" s="20" t="s">
        <v>250</v>
      </c>
      <c r="C420" s="20" t="s">
        <v>231</v>
      </c>
      <c r="D420" s="20" t="s">
        <v>1261</v>
      </c>
      <c r="E420" s="20" t="s">
        <v>150</v>
      </c>
      <c r="F420" s="6">
        <f>'Пр.4 ведом.20'!G1028</f>
        <v>390</v>
      </c>
      <c r="G420" s="6">
        <f>'Пр.4 ведом.20'!H1028</f>
        <v>0</v>
      </c>
      <c r="H420" s="6">
        <f t="shared" si="197"/>
        <v>0</v>
      </c>
    </row>
    <row r="421" spans="1:8" s="331" customFormat="1" ht="15.75" x14ac:dyDescent="0.25">
      <c r="A421" s="345" t="s">
        <v>151</v>
      </c>
      <c r="B421" s="338" t="s">
        <v>250</v>
      </c>
      <c r="C421" s="338" t="s">
        <v>231</v>
      </c>
      <c r="D421" s="338" t="s">
        <v>1261</v>
      </c>
      <c r="E421" s="338" t="s">
        <v>161</v>
      </c>
      <c r="F421" s="6">
        <f>F422</f>
        <v>30</v>
      </c>
      <c r="G421" s="6">
        <f t="shared" ref="G421" si="206">G422</f>
        <v>30</v>
      </c>
      <c r="H421" s="6">
        <f t="shared" si="197"/>
        <v>100</v>
      </c>
    </row>
    <row r="422" spans="1:8" s="331" customFormat="1" ht="15.75" x14ac:dyDescent="0.25">
      <c r="A422" s="345" t="s">
        <v>584</v>
      </c>
      <c r="B422" s="338" t="s">
        <v>250</v>
      </c>
      <c r="C422" s="338" t="s">
        <v>231</v>
      </c>
      <c r="D422" s="338" t="s">
        <v>1261</v>
      </c>
      <c r="E422" s="338" t="s">
        <v>154</v>
      </c>
      <c r="F422" s="6">
        <f>'Пр.4 ведом.20'!G1030</f>
        <v>30</v>
      </c>
      <c r="G422" s="6">
        <f>'Пр.4 ведом.20'!H1030</f>
        <v>30</v>
      </c>
      <c r="H422" s="6">
        <f t="shared" si="197"/>
        <v>100</v>
      </c>
    </row>
    <row r="423" spans="1:8" ht="48.2" customHeight="1" x14ac:dyDescent="0.25">
      <c r="A423" s="23" t="s">
        <v>558</v>
      </c>
      <c r="B423" s="7" t="s">
        <v>250</v>
      </c>
      <c r="C423" s="7" t="s">
        <v>231</v>
      </c>
      <c r="D423" s="7" t="s">
        <v>559</v>
      </c>
      <c r="E423" s="7"/>
      <c r="F423" s="4">
        <f t="shared" ref="F423:G423" si="207">F424+F438</f>
        <v>3563.2000000000003</v>
      </c>
      <c r="G423" s="4">
        <f t="shared" si="207"/>
        <v>807.69</v>
      </c>
      <c r="H423" s="4">
        <f t="shared" si="197"/>
        <v>22.667546026044004</v>
      </c>
    </row>
    <row r="424" spans="1:8" ht="47.25" x14ac:dyDescent="0.25">
      <c r="A424" s="23" t="s">
        <v>560</v>
      </c>
      <c r="B424" s="24" t="s">
        <v>250</v>
      </c>
      <c r="C424" s="24" t="s">
        <v>231</v>
      </c>
      <c r="D424" s="24" t="s">
        <v>561</v>
      </c>
      <c r="E424" s="24"/>
      <c r="F424" s="4">
        <f>F425</f>
        <v>1143.4000000000001</v>
      </c>
      <c r="G424" s="4">
        <f t="shared" ref="G424" si="208">G425</f>
        <v>489.69</v>
      </c>
      <c r="H424" s="4">
        <f t="shared" si="197"/>
        <v>42.827531922336888</v>
      </c>
    </row>
    <row r="425" spans="1:8" s="217" customFormat="1" ht="31.5" x14ac:dyDescent="0.25">
      <c r="A425" s="23" t="s">
        <v>1122</v>
      </c>
      <c r="B425" s="24" t="s">
        <v>250</v>
      </c>
      <c r="C425" s="24" t="s">
        <v>231</v>
      </c>
      <c r="D425" s="24" t="s">
        <v>1120</v>
      </c>
      <c r="E425" s="24"/>
      <c r="F425" s="4">
        <f>F426+F429+F435</f>
        <v>1143.4000000000001</v>
      </c>
      <c r="G425" s="4">
        <f t="shared" ref="G425" si="209">G426+G429+G435</f>
        <v>489.69</v>
      </c>
      <c r="H425" s="4">
        <f t="shared" si="197"/>
        <v>42.827531922336888</v>
      </c>
    </row>
    <row r="426" spans="1:8" ht="24" customHeight="1" x14ac:dyDescent="0.25">
      <c r="A426" s="25" t="s">
        <v>562</v>
      </c>
      <c r="B426" s="20" t="s">
        <v>250</v>
      </c>
      <c r="C426" s="20" t="s">
        <v>231</v>
      </c>
      <c r="D426" s="20" t="s">
        <v>1121</v>
      </c>
      <c r="E426" s="20"/>
      <c r="F426" s="6">
        <f t="shared" ref="F426:G427" si="210">F427</f>
        <v>90</v>
      </c>
      <c r="G426" s="6">
        <f t="shared" si="210"/>
        <v>45</v>
      </c>
      <c r="H426" s="6">
        <f t="shared" si="197"/>
        <v>50</v>
      </c>
    </row>
    <row r="427" spans="1:8" ht="31.5" x14ac:dyDescent="0.25">
      <c r="A427" s="25" t="s">
        <v>147</v>
      </c>
      <c r="B427" s="20" t="s">
        <v>250</v>
      </c>
      <c r="C427" s="20" t="s">
        <v>231</v>
      </c>
      <c r="D427" s="20" t="s">
        <v>1121</v>
      </c>
      <c r="E427" s="20" t="s">
        <v>148</v>
      </c>
      <c r="F427" s="6">
        <f t="shared" si="210"/>
        <v>90</v>
      </c>
      <c r="G427" s="6">
        <f t="shared" si="210"/>
        <v>45</v>
      </c>
      <c r="H427" s="6">
        <f t="shared" si="197"/>
        <v>50</v>
      </c>
    </row>
    <row r="428" spans="1:8" ht="31.5" x14ac:dyDescent="0.25">
      <c r="A428" s="25" t="s">
        <v>149</v>
      </c>
      <c r="B428" s="20" t="s">
        <v>250</v>
      </c>
      <c r="C428" s="20" t="s">
        <v>231</v>
      </c>
      <c r="D428" s="20" t="s">
        <v>1121</v>
      </c>
      <c r="E428" s="20" t="s">
        <v>150</v>
      </c>
      <c r="F428" s="6">
        <f>'Пр.4 ведом.20'!G1036</f>
        <v>90</v>
      </c>
      <c r="G428" s="6">
        <f>'Пр.4 ведом.20'!H1036</f>
        <v>45</v>
      </c>
      <c r="H428" s="6">
        <f t="shared" si="197"/>
        <v>50</v>
      </c>
    </row>
    <row r="429" spans="1:8" ht="15.75" x14ac:dyDescent="0.25">
      <c r="A429" s="25" t="s">
        <v>564</v>
      </c>
      <c r="B429" s="20" t="s">
        <v>250</v>
      </c>
      <c r="C429" s="20" t="s">
        <v>231</v>
      </c>
      <c r="D429" s="20" t="s">
        <v>1123</v>
      </c>
      <c r="E429" s="20"/>
      <c r="F429" s="6">
        <f>F430+F432</f>
        <v>1037.4000000000001</v>
      </c>
      <c r="G429" s="6">
        <f t="shared" ref="G429" si="211">G430+G432</f>
        <v>444.69</v>
      </c>
      <c r="H429" s="6">
        <f t="shared" si="197"/>
        <v>42.865818392134173</v>
      </c>
    </row>
    <row r="430" spans="1:8" ht="31.5" x14ac:dyDescent="0.25">
      <c r="A430" s="25" t="s">
        <v>147</v>
      </c>
      <c r="B430" s="20" t="s">
        <v>250</v>
      </c>
      <c r="C430" s="20" t="s">
        <v>231</v>
      </c>
      <c r="D430" s="20" t="s">
        <v>1123</v>
      </c>
      <c r="E430" s="20" t="s">
        <v>148</v>
      </c>
      <c r="F430" s="6">
        <f t="shared" ref="F430:G430" si="212">F431</f>
        <v>1037.4000000000001</v>
      </c>
      <c r="G430" s="6">
        <f t="shared" si="212"/>
        <v>444.69</v>
      </c>
      <c r="H430" s="6">
        <f t="shared" si="197"/>
        <v>42.865818392134173</v>
      </c>
    </row>
    <row r="431" spans="1:8" ht="31.5" x14ac:dyDescent="0.25">
      <c r="A431" s="25" t="s">
        <v>149</v>
      </c>
      <c r="B431" s="20" t="s">
        <v>250</v>
      </c>
      <c r="C431" s="20" t="s">
        <v>231</v>
      </c>
      <c r="D431" s="20" t="s">
        <v>1123</v>
      </c>
      <c r="E431" s="20" t="s">
        <v>150</v>
      </c>
      <c r="F431" s="6">
        <f>'Пр.4 ведом.20'!G1039</f>
        <v>1037.4000000000001</v>
      </c>
      <c r="G431" s="6">
        <f>'Пр.4 ведом.20'!H1039</f>
        <v>444.69</v>
      </c>
      <c r="H431" s="6">
        <f t="shared" si="197"/>
        <v>42.865818392134173</v>
      </c>
    </row>
    <row r="432" spans="1:8" ht="15.75" hidden="1" x14ac:dyDescent="0.25">
      <c r="A432" s="29" t="s">
        <v>151</v>
      </c>
      <c r="B432" s="20" t="s">
        <v>250</v>
      </c>
      <c r="C432" s="20" t="s">
        <v>231</v>
      </c>
      <c r="D432" s="20" t="s">
        <v>1123</v>
      </c>
      <c r="E432" s="20" t="s">
        <v>161</v>
      </c>
      <c r="F432" s="6">
        <f>F434+F433</f>
        <v>0</v>
      </c>
      <c r="G432" s="6">
        <f t="shared" ref="G432" si="213">G434+G433</f>
        <v>0</v>
      </c>
      <c r="H432" s="6" t="e">
        <f t="shared" si="197"/>
        <v>#DIV/0!</v>
      </c>
    </row>
    <row r="433" spans="1:8" s="217" customFormat="1" ht="47.25" hidden="1" x14ac:dyDescent="0.25">
      <c r="A433" s="25" t="s">
        <v>882</v>
      </c>
      <c r="B433" s="20" t="s">
        <v>250</v>
      </c>
      <c r="C433" s="20" t="s">
        <v>231</v>
      </c>
      <c r="D433" s="20" t="s">
        <v>1123</v>
      </c>
      <c r="E433" s="20" t="s">
        <v>163</v>
      </c>
      <c r="F433" s="6">
        <f>'Пр.4 ведом.20'!G1041</f>
        <v>0</v>
      </c>
      <c r="G433" s="6">
        <f>'Пр.4 ведом.20'!H1041</f>
        <v>0</v>
      </c>
      <c r="H433" s="6" t="e">
        <f t="shared" si="197"/>
        <v>#DIV/0!</v>
      </c>
    </row>
    <row r="434" spans="1:8" ht="15.75" hidden="1" x14ac:dyDescent="0.25">
      <c r="A434" s="29" t="s">
        <v>584</v>
      </c>
      <c r="B434" s="20" t="s">
        <v>250</v>
      </c>
      <c r="C434" s="20" t="s">
        <v>231</v>
      </c>
      <c r="D434" s="20" t="s">
        <v>1123</v>
      </c>
      <c r="E434" s="20" t="s">
        <v>154</v>
      </c>
      <c r="F434" s="6">
        <f>'Пр.4 ведом.20'!G1042</f>
        <v>0</v>
      </c>
      <c r="G434" s="6">
        <f>'Пр.4 ведом.20'!H1042</f>
        <v>0</v>
      </c>
      <c r="H434" s="6" t="e">
        <f t="shared" si="197"/>
        <v>#DIV/0!</v>
      </c>
    </row>
    <row r="435" spans="1:8" ht="15.75" x14ac:dyDescent="0.25">
      <c r="A435" s="25" t="s">
        <v>566</v>
      </c>
      <c r="B435" s="20" t="s">
        <v>250</v>
      </c>
      <c r="C435" s="20" t="s">
        <v>231</v>
      </c>
      <c r="D435" s="20" t="s">
        <v>1124</v>
      </c>
      <c r="E435" s="20"/>
      <c r="F435" s="6">
        <f t="shared" ref="F435:G436" si="214">F436</f>
        <v>16</v>
      </c>
      <c r="G435" s="6">
        <f t="shared" si="214"/>
        <v>0</v>
      </c>
      <c r="H435" s="6">
        <f t="shared" si="197"/>
        <v>0</v>
      </c>
    </row>
    <row r="436" spans="1:8" ht="31.5" x14ac:dyDescent="0.25">
      <c r="A436" s="25" t="s">
        <v>147</v>
      </c>
      <c r="B436" s="20" t="s">
        <v>250</v>
      </c>
      <c r="C436" s="20" t="s">
        <v>231</v>
      </c>
      <c r="D436" s="20" t="s">
        <v>1124</v>
      </c>
      <c r="E436" s="20" t="s">
        <v>148</v>
      </c>
      <c r="F436" s="6">
        <f t="shared" si="214"/>
        <v>16</v>
      </c>
      <c r="G436" s="6">
        <f t="shared" si="214"/>
        <v>0</v>
      </c>
      <c r="H436" s="6">
        <f t="shared" si="197"/>
        <v>0</v>
      </c>
    </row>
    <row r="437" spans="1:8" ht="31.5" x14ac:dyDescent="0.25">
      <c r="A437" s="25" t="s">
        <v>149</v>
      </c>
      <c r="B437" s="20" t="s">
        <v>250</v>
      </c>
      <c r="C437" s="20" t="s">
        <v>231</v>
      </c>
      <c r="D437" s="20" t="s">
        <v>1124</v>
      </c>
      <c r="E437" s="20" t="s">
        <v>150</v>
      </c>
      <c r="F437" s="6">
        <f>'Пр.4 ведом.20'!G1045</f>
        <v>16</v>
      </c>
      <c r="G437" s="6">
        <f>'Пр.4 ведом.20'!H1045</f>
        <v>0</v>
      </c>
      <c r="H437" s="6">
        <f t="shared" si="197"/>
        <v>0</v>
      </c>
    </row>
    <row r="438" spans="1:8" ht="47.25" x14ac:dyDescent="0.25">
      <c r="A438" s="23" t="s">
        <v>568</v>
      </c>
      <c r="B438" s="24" t="s">
        <v>250</v>
      </c>
      <c r="C438" s="24" t="s">
        <v>231</v>
      </c>
      <c r="D438" s="24" t="s">
        <v>569</v>
      </c>
      <c r="E438" s="24"/>
      <c r="F438" s="4">
        <f>F439+F454</f>
        <v>2419.8000000000002</v>
      </c>
      <c r="G438" s="4">
        <f t="shared" ref="G438" si="215">G439+G454</f>
        <v>318</v>
      </c>
      <c r="H438" s="4">
        <f t="shared" si="197"/>
        <v>13.141581948921397</v>
      </c>
    </row>
    <row r="439" spans="1:8" s="217" customFormat="1" ht="31.5" x14ac:dyDescent="0.25">
      <c r="A439" s="23" t="s">
        <v>1140</v>
      </c>
      <c r="B439" s="24" t="s">
        <v>250</v>
      </c>
      <c r="C439" s="24" t="s">
        <v>231</v>
      </c>
      <c r="D439" s="24" t="s">
        <v>1125</v>
      </c>
      <c r="E439" s="24"/>
      <c r="F439" s="4">
        <f>F440+F443+F446+F451</f>
        <v>505.3</v>
      </c>
      <c r="G439" s="4">
        <f t="shared" ref="G439" si="216">G440+G443+G446+G451</f>
        <v>318</v>
      </c>
      <c r="H439" s="4">
        <f t="shared" si="197"/>
        <v>62.9329111418959</v>
      </c>
    </row>
    <row r="440" spans="1:8" ht="15.75" x14ac:dyDescent="0.25">
      <c r="A440" s="25" t="s">
        <v>566</v>
      </c>
      <c r="B440" s="20" t="s">
        <v>250</v>
      </c>
      <c r="C440" s="20" t="s">
        <v>231</v>
      </c>
      <c r="D440" s="20" t="s">
        <v>1126</v>
      </c>
      <c r="E440" s="20"/>
      <c r="F440" s="6">
        <f>F441</f>
        <v>11</v>
      </c>
      <c r="G440" s="6">
        <f t="shared" ref="G440" si="217">G441</f>
        <v>0</v>
      </c>
      <c r="H440" s="6">
        <f t="shared" si="197"/>
        <v>0</v>
      </c>
    </row>
    <row r="441" spans="1:8" ht="31.5" x14ac:dyDescent="0.25">
      <c r="A441" s="25" t="s">
        <v>147</v>
      </c>
      <c r="B441" s="20" t="s">
        <v>250</v>
      </c>
      <c r="C441" s="20" t="s">
        <v>231</v>
      </c>
      <c r="D441" s="20" t="s">
        <v>1126</v>
      </c>
      <c r="E441" s="20" t="s">
        <v>148</v>
      </c>
      <c r="F441" s="6">
        <f t="shared" ref="F441:G441" si="218">F442</f>
        <v>11</v>
      </c>
      <c r="G441" s="6">
        <f t="shared" si="218"/>
        <v>0</v>
      </c>
      <c r="H441" s="6">
        <f t="shared" si="197"/>
        <v>0</v>
      </c>
    </row>
    <row r="442" spans="1:8" ht="31.5" x14ac:dyDescent="0.25">
      <c r="A442" s="25" t="s">
        <v>149</v>
      </c>
      <c r="B442" s="20" t="s">
        <v>250</v>
      </c>
      <c r="C442" s="20" t="s">
        <v>231</v>
      </c>
      <c r="D442" s="20" t="s">
        <v>1126</v>
      </c>
      <c r="E442" s="20" t="s">
        <v>150</v>
      </c>
      <c r="F442" s="6">
        <f>'Пр.4 ведом.20'!G1061</f>
        <v>11</v>
      </c>
      <c r="G442" s="6">
        <f>'Пр.4 ведом.20'!H1061</f>
        <v>0</v>
      </c>
      <c r="H442" s="6">
        <f t="shared" si="197"/>
        <v>0</v>
      </c>
    </row>
    <row r="443" spans="1:8" ht="15.75" x14ac:dyDescent="0.25">
      <c r="A443" s="25" t="s">
        <v>571</v>
      </c>
      <c r="B443" s="20" t="s">
        <v>250</v>
      </c>
      <c r="C443" s="20" t="s">
        <v>231</v>
      </c>
      <c r="D443" s="20" t="s">
        <v>1127</v>
      </c>
      <c r="E443" s="20"/>
      <c r="F443" s="6">
        <f t="shared" ref="F443:G444" si="219">F444</f>
        <v>4</v>
      </c>
      <c r="G443" s="6">
        <f t="shared" si="219"/>
        <v>0</v>
      </c>
      <c r="H443" s="6">
        <f t="shared" si="197"/>
        <v>0</v>
      </c>
    </row>
    <row r="444" spans="1:8" ht="31.5" x14ac:dyDescent="0.25">
      <c r="A444" s="25" t="s">
        <v>147</v>
      </c>
      <c r="B444" s="20" t="s">
        <v>250</v>
      </c>
      <c r="C444" s="20" t="s">
        <v>231</v>
      </c>
      <c r="D444" s="20" t="s">
        <v>1127</v>
      </c>
      <c r="E444" s="20" t="s">
        <v>148</v>
      </c>
      <c r="F444" s="6">
        <f t="shared" si="219"/>
        <v>4</v>
      </c>
      <c r="G444" s="6">
        <f t="shared" si="219"/>
        <v>0</v>
      </c>
      <c r="H444" s="6">
        <f t="shared" si="197"/>
        <v>0</v>
      </c>
    </row>
    <row r="445" spans="1:8" ht="31.5" x14ac:dyDescent="0.25">
      <c r="A445" s="25" t="s">
        <v>149</v>
      </c>
      <c r="B445" s="20" t="s">
        <v>250</v>
      </c>
      <c r="C445" s="20" t="s">
        <v>231</v>
      </c>
      <c r="D445" s="20" t="s">
        <v>1127</v>
      </c>
      <c r="E445" s="20" t="s">
        <v>150</v>
      </c>
      <c r="F445" s="6">
        <f>'Пр.4 ведом.20'!G1050</f>
        <v>4</v>
      </c>
      <c r="G445" s="6">
        <f>'Пр.4 ведом.20'!H1050</f>
        <v>0</v>
      </c>
      <c r="H445" s="6">
        <f t="shared" si="197"/>
        <v>0</v>
      </c>
    </row>
    <row r="446" spans="1:8" ht="47.25" x14ac:dyDescent="0.25">
      <c r="A446" s="99" t="s">
        <v>573</v>
      </c>
      <c r="B446" s="20" t="s">
        <v>250</v>
      </c>
      <c r="C446" s="20" t="s">
        <v>231</v>
      </c>
      <c r="D446" s="20" t="s">
        <v>1128</v>
      </c>
      <c r="E446" s="20"/>
      <c r="F446" s="6">
        <f>F447+F449</f>
        <v>490.3</v>
      </c>
      <c r="G446" s="6">
        <f t="shared" ref="G446" si="220">G447+G449</f>
        <v>318</v>
      </c>
      <c r="H446" s="6">
        <f t="shared" si="197"/>
        <v>64.858250050989184</v>
      </c>
    </row>
    <row r="447" spans="1:8" ht="31.5" x14ac:dyDescent="0.25">
      <c r="A447" s="25" t="s">
        <v>147</v>
      </c>
      <c r="B447" s="20" t="s">
        <v>250</v>
      </c>
      <c r="C447" s="20" t="s">
        <v>231</v>
      </c>
      <c r="D447" s="20" t="s">
        <v>1128</v>
      </c>
      <c r="E447" s="20" t="s">
        <v>148</v>
      </c>
      <c r="F447" s="6">
        <f t="shared" ref="F447:G447" si="221">F448</f>
        <v>490.3</v>
      </c>
      <c r="G447" s="6">
        <f t="shared" si="221"/>
        <v>318</v>
      </c>
      <c r="H447" s="6">
        <f t="shared" si="197"/>
        <v>64.858250050989184</v>
      </c>
    </row>
    <row r="448" spans="1:8" ht="31.5" x14ac:dyDescent="0.25">
      <c r="A448" s="25" t="s">
        <v>149</v>
      </c>
      <c r="B448" s="20" t="s">
        <v>250</v>
      </c>
      <c r="C448" s="20" t="s">
        <v>231</v>
      </c>
      <c r="D448" s="20" t="s">
        <v>1128</v>
      </c>
      <c r="E448" s="20" t="s">
        <v>150</v>
      </c>
      <c r="F448" s="6">
        <f>'Пр.4 ведом.20'!G1053</f>
        <v>490.3</v>
      </c>
      <c r="G448" s="6">
        <f>'Пр.4 ведом.20'!H1053</f>
        <v>318</v>
      </c>
      <c r="H448" s="6">
        <f t="shared" si="197"/>
        <v>64.858250050989184</v>
      </c>
    </row>
    <row r="449" spans="1:8" s="217" customFormat="1" ht="15.75" x14ac:dyDescent="0.25">
      <c r="A449" s="29" t="s">
        <v>151</v>
      </c>
      <c r="B449" s="20" t="s">
        <v>250</v>
      </c>
      <c r="C449" s="20" t="s">
        <v>231</v>
      </c>
      <c r="D449" s="20" t="s">
        <v>1128</v>
      </c>
      <c r="E449" s="20" t="s">
        <v>161</v>
      </c>
      <c r="F449" s="6">
        <f>F450</f>
        <v>0</v>
      </c>
      <c r="G449" s="6">
        <f t="shared" ref="G449" si="222">G450</f>
        <v>0</v>
      </c>
      <c r="H449" s="6" t="e">
        <f t="shared" si="197"/>
        <v>#DIV/0!</v>
      </c>
    </row>
    <row r="450" spans="1:8" s="217" customFormat="1" ht="15.75" x14ac:dyDescent="0.25">
      <c r="A450" s="29" t="s">
        <v>584</v>
      </c>
      <c r="B450" s="20" t="s">
        <v>250</v>
      </c>
      <c r="C450" s="20" t="s">
        <v>231</v>
      </c>
      <c r="D450" s="20" t="s">
        <v>1128</v>
      </c>
      <c r="E450" s="20" t="s">
        <v>154</v>
      </c>
      <c r="F450" s="6">
        <f>'Пр.4 ведом.20'!G1055</f>
        <v>0</v>
      </c>
      <c r="G450" s="6">
        <f>'Пр.4 ведом.20'!H1055</f>
        <v>0</v>
      </c>
      <c r="H450" s="6" t="e">
        <f t="shared" si="197"/>
        <v>#DIV/0!</v>
      </c>
    </row>
    <row r="451" spans="1:8" ht="15.75" hidden="1" x14ac:dyDescent="0.25">
      <c r="A451" s="99" t="s">
        <v>575</v>
      </c>
      <c r="B451" s="20" t="s">
        <v>250</v>
      </c>
      <c r="C451" s="20" t="s">
        <v>231</v>
      </c>
      <c r="D451" s="20" t="s">
        <v>1129</v>
      </c>
      <c r="E451" s="20"/>
      <c r="F451" s="6">
        <f t="shared" ref="F451:G452" si="223">F452</f>
        <v>0</v>
      </c>
      <c r="G451" s="6">
        <f t="shared" si="223"/>
        <v>0</v>
      </c>
      <c r="H451" s="6" t="e">
        <f t="shared" si="197"/>
        <v>#DIV/0!</v>
      </c>
    </row>
    <row r="452" spans="1:8" ht="31.5" hidden="1" x14ac:dyDescent="0.25">
      <c r="A452" s="25" t="s">
        <v>147</v>
      </c>
      <c r="B452" s="20" t="s">
        <v>250</v>
      </c>
      <c r="C452" s="20" t="s">
        <v>231</v>
      </c>
      <c r="D452" s="20" t="s">
        <v>1129</v>
      </c>
      <c r="E452" s="20" t="s">
        <v>148</v>
      </c>
      <c r="F452" s="6">
        <f t="shared" si="223"/>
        <v>0</v>
      </c>
      <c r="G452" s="6">
        <f t="shared" si="223"/>
        <v>0</v>
      </c>
      <c r="H452" s="6" t="e">
        <f t="shared" si="197"/>
        <v>#DIV/0!</v>
      </c>
    </row>
    <row r="453" spans="1:8" ht="31.5" hidden="1" x14ac:dyDescent="0.25">
      <c r="A453" s="25" t="s">
        <v>149</v>
      </c>
      <c r="B453" s="20" t="s">
        <v>250</v>
      </c>
      <c r="C453" s="20" t="s">
        <v>231</v>
      </c>
      <c r="D453" s="20" t="s">
        <v>1129</v>
      </c>
      <c r="E453" s="20" t="s">
        <v>150</v>
      </c>
      <c r="F453" s="6">
        <f>'Пр.4 ведом.20'!G1058</f>
        <v>0</v>
      </c>
      <c r="G453" s="6">
        <f>'Пр.4 ведом.20'!H1058</f>
        <v>0</v>
      </c>
      <c r="H453" s="6" t="e">
        <f t="shared" si="197"/>
        <v>#DIV/0!</v>
      </c>
    </row>
    <row r="454" spans="1:8" s="217" customFormat="1" ht="31.5" x14ac:dyDescent="0.25">
      <c r="A454" s="23" t="s">
        <v>950</v>
      </c>
      <c r="B454" s="7" t="s">
        <v>250</v>
      </c>
      <c r="C454" s="7" t="s">
        <v>231</v>
      </c>
      <c r="D454" s="24" t="s">
        <v>1130</v>
      </c>
      <c r="E454" s="24"/>
      <c r="F454" s="4">
        <f>F455+F458</f>
        <v>1914.5</v>
      </c>
      <c r="G454" s="4">
        <f t="shared" ref="G454" si="224">G455+G458</f>
        <v>0</v>
      </c>
      <c r="H454" s="4">
        <f t="shared" si="197"/>
        <v>0</v>
      </c>
    </row>
    <row r="455" spans="1:8" s="217" customFormat="1" ht="31.5" hidden="1" x14ac:dyDescent="0.25">
      <c r="A455" s="25" t="s">
        <v>707</v>
      </c>
      <c r="B455" s="20" t="s">
        <v>250</v>
      </c>
      <c r="C455" s="20" t="s">
        <v>231</v>
      </c>
      <c r="D455" s="20" t="s">
        <v>1131</v>
      </c>
      <c r="E455" s="20"/>
      <c r="F455" s="6">
        <f t="shared" ref="F455:G456" si="225">F456</f>
        <v>0</v>
      </c>
      <c r="G455" s="6">
        <f t="shared" si="225"/>
        <v>0</v>
      </c>
      <c r="H455" s="6" t="e">
        <f t="shared" si="197"/>
        <v>#DIV/0!</v>
      </c>
    </row>
    <row r="456" spans="1:8" s="217" customFormat="1" ht="31.5" hidden="1" x14ac:dyDescent="0.25">
      <c r="A456" s="25" t="s">
        <v>147</v>
      </c>
      <c r="B456" s="20" t="s">
        <v>250</v>
      </c>
      <c r="C456" s="20" t="s">
        <v>231</v>
      </c>
      <c r="D456" s="20" t="s">
        <v>1131</v>
      </c>
      <c r="E456" s="20" t="s">
        <v>148</v>
      </c>
      <c r="F456" s="6">
        <f>F457</f>
        <v>0</v>
      </c>
      <c r="G456" s="6">
        <f t="shared" si="225"/>
        <v>0</v>
      </c>
      <c r="H456" s="6" t="e">
        <f t="shared" si="197"/>
        <v>#DIV/0!</v>
      </c>
    </row>
    <row r="457" spans="1:8" s="217" customFormat="1" ht="31.5" hidden="1" x14ac:dyDescent="0.25">
      <c r="A457" s="25" t="s">
        <v>149</v>
      </c>
      <c r="B457" s="20" t="s">
        <v>250</v>
      </c>
      <c r="C457" s="20" t="s">
        <v>231</v>
      </c>
      <c r="D457" s="20" t="s">
        <v>1131</v>
      </c>
      <c r="E457" s="20" t="s">
        <v>150</v>
      </c>
      <c r="F457" s="6">
        <f>'Пр.4 ведом.20'!G1065</f>
        <v>0</v>
      </c>
      <c r="G457" s="6">
        <f>'Пр.4 ведом.20'!H1065</f>
        <v>0</v>
      </c>
      <c r="H457" s="6" t="e">
        <f t="shared" si="197"/>
        <v>#DIV/0!</v>
      </c>
    </row>
    <row r="458" spans="1:8" s="217" customFormat="1" ht="63" x14ac:dyDescent="0.25">
      <c r="A458" s="25" t="s">
        <v>1249</v>
      </c>
      <c r="B458" s="20" t="s">
        <v>250</v>
      </c>
      <c r="C458" s="20" t="s">
        <v>231</v>
      </c>
      <c r="D458" s="20" t="s">
        <v>1250</v>
      </c>
      <c r="E458" s="20"/>
      <c r="F458" s="6">
        <f>F459</f>
        <v>1914.5</v>
      </c>
      <c r="G458" s="6">
        <f t="shared" ref="G458:G459" si="226">G459</f>
        <v>0</v>
      </c>
      <c r="H458" s="6">
        <f t="shared" si="197"/>
        <v>0</v>
      </c>
    </row>
    <row r="459" spans="1:8" s="217" customFormat="1" ht="31.5" x14ac:dyDescent="0.25">
      <c r="A459" s="25" t="s">
        <v>147</v>
      </c>
      <c r="B459" s="20" t="s">
        <v>250</v>
      </c>
      <c r="C459" s="20" t="s">
        <v>231</v>
      </c>
      <c r="D459" s="20" t="s">
        <v>1250</v>
      </c>
      <c r="E459" s="20" t="s">
        <v>148</v>
      </c>
      <c r="F459" s="6">
        <f>F460</f>
        <v>1914.5</v>
      </c>
      <c r="G459" s="6">
        <f t="shared" si="226"/>
        <v>0</v>
      </c>
      <c r="H459" s="6">
        <f t="shared" ref="H459:H522" si="227">G459/F459*100</f>
        <v>0</v>
      </c>
    </row>
    <row r="460" spans="1:8" s="217" customFormat="1" ht="31.5" x14ac:dyDescent="0.25">
      <c r="A460" s="25" t="s">
        <v>149</v>
      </c>
      <c r="B460" s="20" t="s">
        <v>250</v>
      </c>
      <c r="C460" s="20" t="s">
        <v>231</v>
      </c>
      <c r="D460" s="20" t="s">
        <v>1250</v>
      </c>
      <c r="E460" s="20" t="s">
        <v>150</v>
      </c>
      <c r="F460" s="6">
        <f>'Пр.4 ведом.20'!G1068</f>
        <v>1914.5</v>
      </c>
      <c r="G460" s="6">
        <f>'Пр.4 ведом.20'!H1068</f>
        <v>0</v>
      </c>
      <c r="H460" s="6">
        <f t="shared" si="227"/>
        <v>0</v>
      </c>
    </row>
    <row r="461" spans="1:8" ht="63" x14ac:dyDescent="0.25">
      <c r="A461" s="23" t="s">
        <v>822</v>
      </c>
      <c r="B461" s="24" t="s">
        <v>250</v>
      </c>
      <c r="C461" s="24" t="s">
        <v>231</v>
      </c>
      <c r="D461" s="24" t="s">
        <v>734</v>
      </c>
      <c r="E461" s="24"/>
      <c r="F461" s="4">
        <f t="shared" ref="F461:G461" si="228">F463</f>
        <v>401</v>
      </c>
      <c r="G461" s="4">
        <f t="shared" si="228"/>
        <v>0</v>
      </c>
      <c r="H461" s="4">
        <f t="shared" si="227"/>
        <v>0</v>
      </c>
    </row>
    <row r="462" spans="1:8" s="217" customFormat="1" ht="31.5" x14ac:dyDescent="0.25">
      <c r="A462" s="23" t="s">
        <v>1245</v>
      </c>
      <c r="B462" s="24" t="s">
        <v>250</v>
      </c>
      <c r="C462" s="24" t="s">
        <v>231</v>
      </c>
      <c r="D462" s="24" t="s">
        <v>881</v>
      </c>
      <c r="E462" s="20"/>
      <c r="F462" s="4">
        <f>F463</f>
        <v>401</v>
      </c>
      <c r="G462" s="4">
        <f t="shared" ref="G462" si="229">G463</f>
        <v>0</v>
      </c>
      <c r="H462" s="4">
        <f t="shared" si="227"/>
        <v>0</v>
      </c>
    </row>
    <row r="463" spans="1:8" ht="31.5" x14ac:dyDescent="0.25">
      <c r="A463" s="271" t="s">
        <v>733</v>
      </c>
      <c r="B463" s="20" t="s">
        <v>250</v>
      </c>
      <c r="C463" s="20" t="s">
        <v>231</v>
      </c>
      <c r="D463" s="20" t="s">
        <v>881</v>
      </c>
      <c r="E463" s="20"/>
      <c r="F463" s="6">
        <f t="shared" ref="F463:G464" si="230">F464</f>
        <v>401</v>
      </c>
      <c r="G463" s="6">
        <f t="shared" si="230"/>
        <v>0</v>
      </c>
      <c r="H463" s="6">
        <f t="shared" si="227"/>
        <v>0</v>
      </c>
    </row>
    <row r="464" spans="1:8" ht="31.5" x14ac:dyDescent="0.25">
      <c r="A464" s="25" t="s">
        <v>147</v>
      </c>
      <c r="B464" s="20" t="s">
        <v>250</v>
      </c>
      <c r="C464" s="20" t="s">
        <v>231</v>
      </c>
      <c r="D464" s="20" t="s">
        <v>881</v>
      </c>
      <c r="E464" s="20" t="s">
        <v>148</v>
      </c>
      <c r="F464" s="6">
        <f t="shared" si="230"/>
        <v>401</v>
      </c>
      <c r="G464" s="6">
        <f t="shared" si="230"/>
        <v>0</v>
      </c>
      <c r="H464" s="6">
        <f t="shared" si="227"/>
        <v>0</v>
      </c>
    </row>
    <row r="465" spans="1:8" ht="31.5" x14ac:dyDescent="0.25">
      <c r="A465" s="25" t="s">
        <v>149</v>
      </c>
      <c r="B465" s="20" t="s">
        <v>250</v>
      </c>
      <c r="C465" s="20" t="s">
        <v>231</v>
      </c>
      <c r="D465" s="20" t="s">
        <v>881</v>
      </c>
      <c r="E465" s="20" t="s">
        <v>150</v>
      </c>
      <c r="F465" s="6">
        <f>'Пр.4 ведом.20'!G1073</f>
        <v>401</v>
      </c>
      <c r="G465" s="6">
        <f>'Пр.4 ведом.20'!H1073</f>
        <v>0</v>
      </c>
      <c r="H465" s="6">
        <f t="shared" si="227"/>
        <v>0</v>
      </c>
    </row>
    <row r="466" spans="1:8" ht="31.5" x14ac:dyDescent="0.25">
      <c r="A466" s="41" t="s">
        <v>585</v>
      </c>
      <c r="B466" s="7" t="s">
        <v>250</v>
      </c>
      <c r="C466" s="7" t="s">
        <v>250</v>
      </c>
      <c r="D466" s="7"/>
      <c r="E466" s="7"/>
      <c r="F466" s="4">
        <f>F467+F479+F498</f>
        <v>24154.5</v>
      </c>
      <c r="G466" s="4">
        <f t="shared" ref="G466" si="231">G467+G479+G498</f>
        <v>11616.330000000002</v>
      </c>
      <c r="H466" s="4">
        <f t="shared" si="227"/>
        <v>48.091784139601323</v>
      </c>
    </row>
    <row r="467" spans="1:8" ht="31.5" x14ac:dyDescent="0.25">
      <c r="A467" s="23" t="s">
        <v>990</v>
      </c>
      <c r="B467" s="24" t="s">
        <v>250</v>
      </c>
      <c r="C467" s="24" t="s">
        <v>250</v>
      </c>
      <c r="D467" s="24" t="s">
        <v>904</v>
      </c>
      <c r="E467" s="24"/>
      <c r="F467" s="4">
        <f>F468</f>
        <v>12402.5</v>
      </c>
      <c r="G467" s="4">
        <f t="shared" ref="G467" si="232">G468</f>
        <v>5474.6600000000008</v>
      </c>
      <c r="H467" s="4">
        <f t="shared" si="227"/>
        <v>44.14158435799235</v>
      </c>
    </row>
    <row r="468" spans="1:8" ht="15.75" x14ac:dyDescent="0.25">
      <c r="A468" s="23" t="s">
        <v>991</v>
      </c>
      <c r="B468" s="24" t="s">
        <v>250</v>
      </c>
      <c r="C468" s="24" t="s">
        <v>250</v>
      </c>
      <c r="D468" s="24" t="s">
        <v>905</v>
      </c>
      <c r="E468" s="24"/>
      <c r="F468" s="4">
        <f>F469+F476</f>
        <v>12402.5</v>
      </c>
      <c r="G468" s="4">
        <f t="shared" ref="G468" si="233">G469+G476</f>
        <v>5474.6600000000008</v>
      </c>
      <c r="H468" s="4">
        <f t="shared" si="227"/>
        <v>44.14158435799235</v>
      </c>
    </row>
    <row r="469" spans="1:8" ht="31.5" x14ac:dyDescent="0.25">
      <c r="A469" s="25" t="s">
        <v>967</v>
      </c>
      <c r="B469" s="20" t="s">
        <v>250</v>
      </c>
      <c r="C469" s="20" t="s">
        <v>250</v>
      </c>
      <c r="D469" s="20" t="s">
        <v>906</v>
      </c>
      <c r="E469" s="20"/>
      <c r="F469" s="6">
        <f t="shared" ref="F469:G469" si="234">F470+F472+F474</f>
        <v>11761.5</v>
      </c>
      <c r="G469" s="6">
        <f t="shared" si="234"/>
        <v>4833.7800000000007</v>
      </c>
      <c r="H469" s="6">
        <f t="shared" si="227"/>
        <v>41.098329294732821</v>
      </c>
    </row>
    <row r="470" spans="1:8" ht="81.75" customHeight="1" x14ac:dyDescent="0.25">
      <c r="A470" s="25" t="s">
        <v>143</v>
      </c>
      <c r="B470" s="20" t="s">
        <v>250</v>
      </c>
      <c r="C470" s="20" t="s">
        <v>250</v>
      </c>
      <c r="D470" s="20" t="s">
        <v>906</v>
      </c>
      <c r="E470" s="20" t="s">
        <v>144</v>
      </c>
      <c r="F470" s="308">
        <f t="shared" ref="F470:G470" si="235">F471</f>
        <v>11689.5</v>
      </c>
      <c r="G470" s="308">
        <f t="shared" si="235"/>
        <v>4814.68</v>
      </c>
      <c r="H470" s="6">
        <f t="shared" si="227"/>
        <v>41.188074767954149</v>
      </c>
    </row>
    <row r="471" spans="1:8" ht="31.5" x14ac:dyDescent="0.25">
      <c r="A471" s="25" t="s">
        <v>145</v>
      </c>
      <c r="B471" s="20" t="s">
        <v>250</v>
      </c>
      <c r="C471" s="20" t="s">
        <v>250</v>
      </c>
      <c r="D471" s="20" t="s">
        <v>906</v>
      </c>
      <c r="E471" s="20" t="s">
        <v>146</v>
      </c>
      <c r="F471" s="308">
        <f>'Пр.4 ведом.20'!G1079</f>
        <v>11689.5</v>
      </c>
      <c r="G471" s="308">
        <f>'Пр.4 ведом.20'!H1079</f>
        <v>4814.68</v>
      </c>
      <c r="H471" s="6">
        <f t="shared" si="227"/>
        <v>41.188074767954149</v>
      </c>
    </row>
    <row r="472" spans="1:8" ht="31.5" x14ac:dyDescent="0.25">
      <c r="A472" s="25" t="s">
        <v>147</v>
      </c>
      <c r="B472" s="20" t="s">
        <v>250</v>
      </c>
      <c r="C472" s="20" t="s">
        <v>250</v>
      </c>
      <c r="D472" s="20" t="s">
        <v>906</v>
      </c>
      <c r="E472" s="20" t="s">
        <v>148</v>
      </c>
      <c r="F472" s="308">
        <f t="shared" ref="F472:G472" si="236">F473</f>
        <v>25</v>
      </c>
      <c r="G472" s="308">
        <f t="shared" si="236"/>
        <v>0</v>
      </c>
      <c r="H472" s="6">
        <f t="shared" si="227"/>
        <v>0</v>
      </c>
    </row>
    <row r="473" spans="1:8" ht="31.5" x14ac:dyDescent="0.25">
      <c r="A473" s="25" t="s">
        <v>149</v>
      </c>
      <c r="B473" s="20" t="s">
        <v>250</v>
      </c>
      <c r="C473" s="20" t="s">
        <v>250</v>
      </c>
      <c r="D473" s="20" t="s">
        <v>906</v>
      </c>
      <c r="E473" s="20" t="s">
        <v>150</v>
      </c>
      <c r="F473" s="308">
        <f>'Пр.4 ведом.20'!G1081</f>
        <v>25</v>
      </c>
      <c r="G473" s="308">
        <f>'Пр.4 ведом.20'!H1081</f>
        <v>0</v>
      </c>
      <c r="H473" s="6">
        <f t="shared" si="227"/>
        <v>0</v>
      </c>
    </row>
    <row r="474" spans="1:8" ht="15.75" x14ac:dyDescent="0.25">
      <c r="A474" s="25" t="s">
        <v>151</v>
      </c>
      <c r="B474" s="20" t="s">
        <v>250</v>
      </c>
      <c r="C474" s="20" t="s">
        <v>250</v>
      </c>
      <c r="D474" s="20" t="s">
        <v>906</v>
      </c>
      <c r="E474" s="20" t="s">
        <v>161</v>
      </c>
      <c r="F474" s="308">
        <f t="shared" ref="F474:G474" si="237">F475</f>
        <v>47</v>
      </c>
      <c r="G474" s="308">
        <f t="shared" si="237"/>
        <v>19.100000000000001</v>
      </c>
      <c r="H474" s="6">
        <f t="shared" si="227"/>
        <v>40.638297872340431</v>
      </c>
    </row>
    <row r="475" spans="1:8" ht="15.75" x14ac:dyDescent="0.25">
      <c r="A475" s="25" t="s">
        <v>584</v>
      </c>
      <c r="B475" s="20" t="s">
        <v>250</v>
      </c>
      <c r="C475" s="20" t="s">
        <v>250</v>
      </c>
      <c r="D475" s="20" t="s">
        <v>906</v>
      </c>
      <c r="E475" s="20" t="s">
        <v>154</v>
      </c>
      <c r="F475" s="308">
        <f>'Пр.4 ведом.20'!G1083</f>
        <v>47</v>
      </c>
      <c r="G475" s="308">
        <f>'Пр.4 ведом.20'!H1083</f>
        <v>19.100000000000001</v>
      </c>
      <c r="H475" s="6">
        <f t="shared" si="227"/>
        <v>40.638297872340431</v>
      </c>
    </row>
    <row r="476" spans="1:8" s="217" customFormat="1" ht="47.25" x14ac:dyDescent="0.25">
      <c r="A476" s="25" t="s">
        <v>885</v>
      </c>
      <c r="B476" s="20" t="s">
        <v>250</v>
      </c>
      <c r="C476" s="20" t="s">
        <v>250</v>
      </c>
      <c r="D476" s="20" t="s">
        <v>908</v>
      </c>
      <c r="E476" s="20"/>
      <c r="F476" s="308">
        <f>F477</f>
        <v>641</v>
      </c>
      <c r="G476" s="308">
        <f t="shared" ref="G476:G477" si="238">G477</f>
        <v>640.88</v>
      </c>
      <c r="H476" s="6">
        <f t="shared" si="227"/>
        <v>99.981279251170037</v>
      </c>
    </row>
    <row r="477" spans="1:8" s="217" customFormat="1" ht="78.75" x14ac:dyDescent="0.25">
      <c r="A477" s="25" t="s">
        <v>143</v>
      </c>
      <c r="B477" s="20" t="s">
        <v>250</v>
      </c>
      <c r="C477" s="20" t="s">
        <v>250</v>
      </c>
      <c r="D477" s="20" t="s">
        <v>908</v>
      </c>
      <c r="E477" s="20" t="s">
        <v>144</v>
      </c>
      <c r="F477" s="308">
        <f>F478</f>
        <v>641</v>
      </c>
      <c r="G477" s="308">
        <f t="shared" si="238"/>
        <v>640.88</v>
      </c>
      <c r="H477" s="6">
        <f t="shared" si="227"/>
        <v>99.981279251170037</v>
      </c>
    </row>
    <row r="478" spans="1:8" s="217" customFormat="1" ht="31.5" x14ac:dyDescent="0.25">
      <c r="A478" s="25" t="s">
        <v>145</v>
      </c>
      <c r="B478" s="20" t="s">
        <v>250</v>
      </c>
      <c r="C478" s="20" t="s">
        <v>250</v>
      </c>
      <c r="D478" s="20" t="s">
        <v>908</v>
      </c>
      <c r="E478" s="20" t="s">
        <v>146</v>
      </c>
      <c r="F478" s="308">
        <f>'Пр.4 ведом.20'!G1086</f>
        <v>641</v>
      </c>
      <c r="G478" s="308">
        <f>'Пр.4 ведом.20'!H1086</f>
        <v>640.88</v>
      </c>
      <c r="H478" s="6">
        <f t="shared" si="227"/>
        <v>99.981279251170037</v>
      </c>
    </row>
    <row r="479" spans="1:8" ht="15.75" x14ac:dyDescent="0.25">
      <c r="A479" s="23" t="s">
        <v>157</v>
      </c>
      <c r="B479" s="24" t="s">
        <v>250</v>
      </c>
      <c r="C479" s="24" t="s">
        <v>250</v>
      </c>
      <c r="D479" s="24" t="s">
        <v>912</v>
      </c>
      <c r="E479" s="24"/>
      <c r="F479" s="4">
        <f>F480+F489</f>
        <v>11695</v>
      </c>
      <c r="G479" s="4">
        <f t="shared" ref="G479" si="239">G480+G489</f>
        <v>6141.67</v>
      </c>
      <c r="H479" s="4">
        <f t="shared" si="227"/>
        <v>52.515348439504059</v>
      </c>
    </row>
    <row r="480" spans="1:8" ht="31.5" x14ac:dyDescent="0.25">
      <c r="A480" s="23" t="s">
        <v>916</v>
      </c>
      <c r="B480" s="24" t="s">
        <v>250</v>
      </c>
      <c r="C480" s="24" t="s">
        <v>250</v>
      </c>
      <c r="D480" s="24" t="s">
        <v>911</v>
      </c>
      <c r="E480" s="24"/>
      <c r="F480" s="310">
        <f>F481+F486</f>
        <v>1462</v>
      </c>
      <c r="G480" s="310">
        <f t="shared" ref="G480" si="240">G481+G486</f>
        <v>949.94</v>
      </c>
      <c r="H480" s="4">
        <f t="shared" si="227"/>
        <v>64.975376196990425</v>
      </c>
    </row>
    <row r="481" spans="1:8" ht="31.5" x14ac:dyDescent="0.25">
      <c r="A481" s="25" t="s">
        <v>586</v>
      </c>
      <c r="B481" s="20" t="s">
        <v>250</v>
      </c>
      <c r="C481" s="20" t="s">
        <v>250</v>
      </c>
      <c r="D481" s="20" t="s">
        <v>1132</v>
      </c>
      <c r="E481" s="20"/>
      <c r="F481" s="308">
        <f>F484+F482</f>
        <v>1462</v>
      </c>
      <c r="G481" s="308">
        <f t="shared" ref="G481" si="241">G484+G482</f>
        <v>949.94</v>
      </c>
      <c r="H481" s="6">
        <f t="shared" si="227"/>
        <v>64.975376196990425</v>
      </c>
    </row>
    <row r="482" spans="1:8" s="217" customFormat="1" ht="31.5" x14ac:dyDescent="0.25">
      <c r="A482" s="25" t="s">
        <v>147</v>
      </c>
      <c r="B482" s="20" t="s">
        <v>250</v>
      </c>
      <c r="C482" s="20" t="s">
        <v>250</v>
      </c>
      <c r="D482" s="20" t="s">
        <v>1132</v>
      </c>
      <c r="E482" s="20" t="s">
        <v>148</v>
      </c>
      <c r="F482" s="308">
        <f>F483</f>
        <v>480</v>
      </c>
      <c r="G482" s="308">
        <f t="shared" ref="G482" si="242">G483</f>
        <v>144</v>
      </c>
      <c r="H482" s="6">
        <f t="shared" si="227"/>
        <v>30</v>
      </c>
    </row>
    <row r="483" spans="1:8" s="217" customFormat="1" ht="31.5" x14ac:dyDescent="0.25">
      <c r="A483" s="25" t="s">
        <v>149</v>
      </c>
      <c r="B483" s="20" t="s">
        <v>250</v>
      </c>
      <c r="C483" s="20" t="s">
        <v>250</v>
      </c>
      <c r="D483" s="20" t="s">
        <v>1132</v>
      </c>
      <c r="E483" s="20" t="s">
        <v>150</v>
      </c>
      <c r="F483" s="308">
        <f>'Пр.4 ведом.20'!G1091</f>
        <v>480</v>
      </c>
      <c r="G483" s="308">
        <f>'Пр.4 ведом.20'!H1091</f>
        <v>144</v>
      </c>
      <c r="H483" s="6">
        <f t="shared" si="227"/>
        <v>30</v>
      </c>
    </row>
    <row r="484" spans="1:8" ht="15.75" x14ac:dyDescent="0.25">
      <c r="A484" s="25" t="s">
        <v>151</v>
      </c>
      <c r="B484" s="20" t="s">
        <v>250</v>
      </c>
      <c r="C484" s="20" t="s">
        <v>250</v>
      </c>
      <c r="D484" s="20" t="s">
        <v>1132</v>
      </c>
      <c r="E484" s="20" t="s">
        <v>161</v>
      </c>
      <c r="F484" s="308">
        <f>F485</f>
        <v>982</v>
      </c>
      <c r="G484" s="308">
        <f t="shared" ref="G484" si="243">G485</f>
        <v>805.94</v>
      </c>
      <c r="H484" s="6">
        <f t="shared" si="227"/>
        <v>82.071283095723018</v>
      </c>
    </row>
    <row r="485" spans="1:8" ht="47.25" x14ac:dyDescent="0.25">
      <c r="A485" s="25" t="s">
        <v>200</v>
      </c>
      <c r="B485" s="20" t="s">
        <v>250</v>
      </c>
      <c r="C485" s="20" t="s">
        <v>250</v>
      </c>
      <c r="D485" s="20" t="s">
        <v>1132</v>
      </c>
      <c r="E485" s="20" t="s">
        <v>176</v>
      </c>
      <c r="F485" s="6">
        <f>'Пр.4 ведом.20'!G1093</f>
        <v>982</v>
      </c>
      <c r="G485" s="6">
        <f>'Пр.4 ведом.20'!H1093</f>
        <v>805.94</v>
      </c>
      <c r="H485" s="6">
        <f t="shared" si="227"/>
        <v>82.071283095723018</v>
      </c>
    </row>
    <row r="486" spans="1:8" ht="31.5" hidden="1" x14ac:dyDescent="0.25">
      <c r="A486" s="25" t="s">
        <v>868</v>
      </c>
      <c r="B486" s="20" t="s">
        <v>250</v>
      </c>
      <c r="C486" s="20" t="s">
        <v>250</v>
      </c>
      <c r="D486" s="20" t="s">
        <v>1251</v>
      </c>
      <c r="E486" s="20"/>
      <c r="F486" s="308">
        <f t="shared" ref="F486:G487" si="244">F487</f>
        <v>0</v>
      </c>
      <c r="G486" s="308">
        <f t="shared" si="244"/>
        <v>0</v>
      </c>
      <c r="H486" s="6" t="e">
        <f t="shared" si="227"/>
        <v>#DIV/0!</v>
      </c>
    </row>
    <row r="487" spans="1:8" ht="15.75" hidden="1" x14ac:dyDescent="0.25">
      <c r="A487" s="25" t="s">
        <v>151</v>
      </c>
      <c r="B487" s="20" t="s">
        <v>250</v>
      </c>
      <c r="C487" s="20" t="s">
        <v>250</v>
      </c>
      <c r="D487" s="20" t="s">
        <v>1251</v>
      </c>
      <c r="E487" s="20" t="s">
        <v>161</v>
      </c>
      <c r="F487" s="308">
        <f>F488</f>
        <v>0</v>
      </c>
      <c r="G487" s="308">
        <f t="shared" si="244"/>
        <v>0</v>
      </c>
      <c r="H487" s="6" t="e">
        <f t="shared" si="227"/>
        <v>#DIV/0!</v>
      </c>
    </row>
    <row r="488" spans="1:8" ht="47.25" hidden="1" x14ac:dyDescent="0.25">
      <c r="A488" s="25" t="s">
        <v>200</v>
      </c>
      <c r="B488" s="20" t="s">
        <v>250</v>
      </c>
      <c r="C488" s="20" t="s">
        <v>250</v>
      </c>
      <c r="D488" s="20" t="s">
        <v>1251</v>
      </c>
      <c r="E488" s="20" t="s">
        <v>176</v>
      </c>
      <c r="F488" s="308">
        <f>'Пр.4 ведом.20'!G1096</f>
        <v>0</v>
      </c>
      <c r="G488" s="308">
        <f>'Пр.4 ведом.20'!H1096</f>
        <v>0</v>
      </c>
      <c r="H488" s="6" t="e">
        <f t="shared" si="227"/>
        <v>#DIV/0!</v>
      </c>
    </row>
    <row r="489" spans="1:8" ht="31.5" x14ac:dyDescent="0.25">
      <c r="A489" s="23" t="s">
        <v>1002</v>
      </c>
      <c r="B489" s="24" t="s">
        <v>250</v>
      </c>
      <c r="C489" s="24" t="s">
        <v>250</v>
      </c>
      <c r="D489" s="24" t="s">
        <v>987</v>
      </c>
      <c r="E489" s="24"/>
      <c r="F489" s="310">
        <f>F490+F495</f>
        <v>10233</v>
      </c>
      <c r="G489" s="310">
        <f t="shared" ref="G489" si="245">G490+G495</f>
        <v>5191.7299999999996</v>
      </c>
      <c r="H489" s="4">
        <f t="shared" si="227"/>
        <v>50.735170526727245</v>
      </c>
    </row>
    <row r="490" spans="1:8" ht="31.5" x14ac:dyDescent="0.25">
      <c r="A490" s="25" t="s">
        <v>974</v>
      </c>
      <c r="B490" s="20" t="s">
        <v>250</v>
      </c>
      <c r="C490" s="20" t="s">
        <v>250</v>
      </c>
      <c r="D490" s="20" t="s">
        <v>988</v>
      </c>
      <c r="E490" s="20"/>
      <c r="F490" s="308">
        <f>F491+F493</f>
        <v>10107</v>
      </c>
      <c r="G490" s="308">
        <f t="shared" ref="G490" si="246">G491+G493</f>
        <v>5065.7299999999996</v>
      </c>
      <c r="H490" s="6">
        <f t="shared" si="227"/>
        <v>50.121005243890373</v>
      </c>
    </row>
    <row r="491" spans="1:8" ht="78.75" x14ac:dyDescent="0.25">
      <c r="A491" s="25" t="s">
        <v>143</v>
      </c>
      <c r="B491" s="20" t="s">
        <v>250</v>
      </c>
      <c r="C491" s="20" t="s">
        <v>250</v>
      </c>
      <c r="D491" s="20" t="s">
        <v>988</v>
      </c>
      <c r="E491" s="20" t="s">
        <v>144</v>
      </c>
      <c r="F491" s="308">
        <f>F492</f>
        <v>8484.1</v>
      </c>
      <c r="G491" s="308">
        <f t="shared" ref="G491" si="247">G492</f>
        <v>4273.49</v>
      </c>
      <c r="H491" s="6">
        <f t="shared" si="227"/>
        <v>50.370575547200048</v>
      </c>
    </row>
    <row r="492" spans="1:8" ht="31.5" x14ac:dyDescent="0.25">
      <c r="A492" s="25" t="s">
        <v>358</v>
      </c>
      <c r="B492" s="20" t="s">
        <v>250</v>
      </c>
      <c r="C492" s="20" t="s">
        <v>250</v>
      </c>
      <c r="D492" s="20" t="s">
        <v>988</v>
      </c>
      <c r="E492" s="20" t="s">
        <v>225</v>
      </c>
      <c r="F492" s="308">
        <f>'Пр.4 ведом.20'!G1100</f>
        <v>8484.1</v>
      </c>
      <c r="G492" s="308">
        <f>'Пр.4 ведом.20'!H1100</f>
        <v>4273.49</v>
      </c>
      <c r="H492" s="6">
        <f t="shared" si="227"/>
        <v>50.370575547200048</v>
      </c>
    </row>
    <row r="493" spans="1:8" s="217" customFormat="1" ht="31.5" x14ac:dyDescent="0.25">
      <c r="A493" s="25" t="s">
        <v>147</v>
      </c>
      <c r="B493" s="20" t="s">
        <v>250</v>
      </c>
      <c r="C493" s="20" t="s">
        <v>250</v>
      </c>
      <c r="D493" s="20" t="s">
        <v>988</v>
      </c>
      <c r="E493" s="20" t="s">
        <v>148</v>
      </c>
      <c r="F493" s="308">
        <f>F494</f>
        <v>1622.9</v>
      </c>
      <c r="G493" s="308">
        <f t="shared" ref="G493" si="248">G494</f>
        <v>792.24</v>
      </c>
      <c r="H493" s="6">
        <f t="shared" si="227"/>
        <v>48.816316470515744</v>
      </c>
    </row>
    <row r="494" spans="1:8" s="217" customFormat="1" ht="31.5" x14ac:dyDescent="0.25">
      <c r="A494" s="25" t="s">
        <v>149</v>
      </c>
      <c r="B494" s="20" t="s">
        <v>250</v>
      </c>
      <c r="C494" s="20" t="s">
        <v>250</v>
      </c>
      <c r="D494" s="20" t="s">
        <v>988</v>
      </c>
      <c r="E494" s="20" t="s">
        <v>150</v>
      </c>
      <c r="F494" s="308">
        <f>'Пр.4 ведом.20'!G1102</f>
        <v>1622.9</v>
      </c>
      <c r="G494" s="308">
        <f>'Пр.4 ведом.20'!H1102</f>
        <v>792.24</v>
      </c>
      <c r="H494" s="6">
        <f t="shared" si="227"/>
        <v>48.816316470515744</v>
      </c>
    </row>
    <row r="495" spans="1:8" s="217" customFormat="1" ht="47.25" x14ac:dyDescent="0.25">
      <c r="A495" s="25" t="s">
        <v>885</v>
      </c>
      <c r="B495" s="20" t="s">
        <v>250</v>
      </c>
      <c r="C495" s="20" t="s">
        <v>250</v>
      </c>
      <c r="D495" s="20" t="s">
        <v>989</v>
      </c>
      <c r="E495" s="20"/>
      <c r="F495" s="308">
        <f>F496</f>
        <v>126</v>
      </c>
      <c r="G495" s="308">
        <f t="shared" ref="G495:G496" si="249">G496</f>
        <v>126</v>
      </c>
      <c r="H495" s="6">
        <f t="shared" si="227"/>
        <v>100</v>
      </c>
    </row>
    <row r="496" spans="1:8" s="217" customFormat="1" ht="78.75" x14ac:dyDescent="0.25">
      <c r="A496" s="25" t="s">
        <v>143</v>
      </c>
      <c r="B496" s="20" t="s">
        <v>250</v>
      </c>
      <c r="C496" s="20" t="s">
        <v>250</v>
      </c>
      <c r="D496" s="20" t="s">
        <v>989</v>
      </c>
      <c r="E496" s="20" t="s">
        <v>144</v>
      </c>
      <c r="F496" s="308">
        <f>F497</f>
        <v>126</v>
      </c>
      <c r="G496" s="308">
        <f t="shared" si="249"/>
        <v>126</v>
      </c>
      <c r="H496" s="6">
        <f t="shared" si="227"/>
        <v>100</v>
      </c>
    </row>
    <row r="497" spans="1:8" s="217" customFormat="1" ht="31.5" x14ac:dyDescent="0.25">
      <c r="A497" s="25" t="s">
        <v>145</v>
      </c>
      <c r="B497" s="20" t="s">
        <v>250</v>
      </c>
      <c r="C497" s="20" t="s">
        <v>250</v>
      </c>
      <c r="D497" s="20" t="s">
        <v>989</v>
      </c>
      <c r="E497" s="20" t="s">
        <v>146</v>
      </c>
      <c r="F497" s="308">
        <f>'Пр.4 ведом.20'!G1105</f>
        <v>126</v>
      </c>
      <c r="G497" s="308">
        <f>'Пр.4 ведом.20'!H1105</f>
        <v>126</v>
      </c>
      <c r="H497" s="6">
        <f t="shared" si="227"/>
        <v>100</v>
      </c>
    </row>
    <row r="498" spans="1:8" s="217" customFormat="1" ht="63" x14ac:dyDescent="0.25">
      <c r="A498" s="34" t="s">
        <v>805</v>
      </c>
      <c r="B498" s="24" t="s">
        <v>250</v>
      </c>
      <c r="C498" s="24" t="s">
        <v>250</v>
      </c>
      <c r="D498" s="24" t="s">
        <v>340</v>
      </c>
      <c r="E498" s="24"/>
      <c r="F498" s="21">
        <f>F499</f>
        <v>57</v>
      </c>
      <c r="G498" s="339">
        <f t="shared" ref="G498:G501" si="250">G499</f>
        <v>0</v>
      </c>
      <c r="H498" s="4">
        <f t="shared" si="227"/>
        <v>0</v>
      </c>
    </row>
    <row r="499" spans="1:8" s="217" customFormat="1" ht="63" x14ac:dyDescent="0.25">
      <c r="A499" s="34" t="s">
        <v>1162</v>
      </c>
      <c r="B499" s="24" t="s">
        <v>250</v>
      </c>
      <c r="C499" s="24" t="s">
        <v>250</v>
      </c>
      <c r="D499" s="24" t="s">
        <v>1025</v>
      </c>
      <c r="E499" s="24"/>
      <c r="F499" s="21">
        <f>F500</f>
        <v>57</v>
      </c>
      <c r="G499" s="339">
        <f t="shared" si="250"/>
        <v>0</v>
      </c>
      <c r="H499" s="4">
        <f t="shared" si="227"/>
        <v>0</v>
      </c>
    </row>
    <row r="500" spans="1:8" s="217" customFormat="1" ht="47.25" x14ac:dyDescent="0.25">
      <c r="A500" s="31" t="s">
        <v>1273</v>
      </c>
      <c r="B500" s="20" t="s">
        <v>250</v>
      </c>
      <c r="C500" s="20" t="s">
        <v>250</v>
      </c>
      <c r="D500" s="20" t="s">
        <v>1192</v>
      </c>
      <c r="E500" s="20"/>
      <c r="F500" s="26">
        <f>F501</f>
        <v>57</v>
      </c>
      <c r="G500" s="343">
        <f t="shared" si="250"/>
        <v>0</v>
      </c>
      <c r="H500" s="6">
        <f t="shared" si="227"/>
        <v>0</v>
      </c>
    </row>
    <row r="501" spans="1:8" s="217" customFormat="1" ht="31.5" x14ac:dyDescent="0.25">
      <c r="A501" s="25" t="s">
        <v>147</v>
      </c>
      <c r="B501" s="20" t="s">
        <v>250</v>
      </c>
      <c r="C501" s="20" t="s">
        <v>250</v>
      </c>
      <c r="D501" s="20" t="s">
        <v>1192</v>
      </c>
      <c r="E501" s="20" t="s">
        <v>148</v>
      </c>
      <c r="F501" s="26">
        <f>F502</f>
        <v>57</v>
      </c>
      <c r="G501" s="343">
        <f t="shared" si="250"/>
        <v>0</v>
      </c>
      <c r="H501" s="6">
        <f t="shared" si="227"/>
        <v>0</v>
      </c>
    </row>
    <row r="502" spans="1:8" s="217" customFormat="1" ht="31.5" x14ac:dyDescent="0.25">
      <c r="A502" s="25" t="s">
        <v>149</v>
      </c>
      <c r="B502" s="20" t="s">
        <v>250</v>
      </c>
      <c r="C502" s="20" t="s">
        <v>250</v>
      </c>
      <c r="D502" s="20" t="s">
        <v>1192</v>
      </c>
      <c r="E502" s="20" t="s">
        <v>150</v>
      </c>
      <c r="F502" s="26">
        <f>'Пр.4 ведом.20'!G1110</f>
        <v>57</v>
      </c>
      <c r="G502" s="343">
        <f>'Пр.4 ведом.20'!H1110</f>
        <v>0</v>
      </c>
      <c r="H502" s="6">
        <f t="shared" si="227"/>
        <v>0</v>
      </c>
    </row>
    <row r="503" spans="1:8" ht="15.75" x14ac:dyDescent="0.25">
      <c r="A503" s="41" t="s">
        <v>279</v>
      </c>
      <c r="B503" s="7" t="s">
        <v>280</v>
      </c>
      <c r="C503" s="40"/>
      <c r="D503" s="40"/>
      <c r="E503" s="40"/>
      <c r="F503" s="4">
        <f>F504+F575+F772+F669+F743</f>
        <v>382536.88900000002</v>
      </c>
      <c r="G503" s="4">
        <f t="shared" ref="G503" si="251">G504+G575+G772+G669+G743</f>
        <v>182920.54</v>
      </c>
      <c r="H503" s="4">
        <f t="shared" si="227"/>
        <v>47.817751767202772</v>
      </c>
    </row>
    <row r="504" spans="1:8" ht="15.75" x14ac:dyDescent="0.25">
      <c r="A504" s="41" t="s">
        <v>420</v>
      </c>
      <c r="B504" s="7" t="s">
        <v>280</v>
      </c>
      <c r="C504" s="7" t="s">
        <v>134</v>
      </c>
      <c r="D504" s="7"/>
      <c r="E504" s="7"/>
      <c r="F504" s="4">
        <f>F505+F558+F570</f>
        <v>110390.8</v>
      </c>
      <c r="G504" s="4">
        <f>G505+G558+G570</f>
        <v>53495.360000000015</v>
      </c>
      <c r="H504" s="4">
        <f t="shared" si="227"/>
        <v>48.459980360682245</v>
      </c>
    </row>
    <row r="505" spans="1:8" ht="47.25" x14ac:dyDescent="0.25">
      <c r="A505" s="23" t="s">
        <v>421</v>
      </c>
      <c r="B505" s="24" t="s">
        <v>280</v>
      </c>
      <c r="C505" s="24" t="s">
        <v>134</v>
      </c>
      <c r="D505" s="24" t="s">
        <v>422</v>
      </c>
      <c r="E505" s="24"/>
      <c r="F505" s="4">
        <f>F506+F530</f>
        <v>109926.5</v>
      </c>
      <c r="G505" s="4">
        <f>G506+G530</f>
        <v>53248.060000000012</v>
      </c>
      <c r="H505" s="4">
        <f t="shared" si="227"/>
        <v>48.439693795399663</v>
      </c>
    </row>
    <row r="506" spans="1:8" ht="35.450000000000003" customHeight="1" x14ac:dyDescent="0.25">
      <c r="A506" s="23" t="s">
        <v>423</v>
      </c>
      <c r="B506" s="24" t="s">
        <v>280</v>
      </c>
      <c r="C506" s="24" t="s">
        <v>134</v>
      </c>
      <c r="D506" s="24" t="s">
        <v>424</v>
      </c>
      <c r="E506" s="24"/>
      <c r="F506" s="4">
        <f>F507+F514</f>
        <v>98857.5</v>
      </c>
      <c r="G506" s="4">
        <f>G507+G514</f>
        <v>47397.760000000009</v>
      </c>
      <c r="H506" s="4">
        <f t="shared" si="227"/>
        <v>47.945537769010961</v>
      </c>
    </row>
    <row r="507" spans="1:8" s="217" customFormat="1" ht="31.5" x14ac:dyDescent="0.25">
      <c r="A507" s="23" t="s">
        <v>1028</v>
      </c>
      <c r="B507" s="24" t="s">
        <v>280</v>
      </c>
      <c r="C507" s="24" t="s">
        <v>134</v>
      </c>
      <c r="D507" s="24" t="s">
        <v>1006</v>
      </c>
      <c r="E507" s="24"/>
      <c r="F507" s="4">
        <f>F508+F511</f>
        <v>13017</v>
      </c>
      <c r="G507" s="4">
        <f t="shared" ref="G507" si="252">G508+G511</f>
        <v>7293.3</v>
      </c>
      <c r="H507" s="4">
        <f t="shared" si="227"/>
        <v>56.02903894906661</v>
      </c>
    </row>
    <row r="508" spans="1:8" ht="52.5" customHeight="1" x14ac:dyDescent="0.25">
      <c r="A508" s="25" t="s">
        <v>1063</v>
      </c>
      <c r="B508" s="20" t="s">
        <v>280</v>
      </c>
      <c r="C508" s="20" t="s">
        <v>134</v>
      </c>
      <c r="D508" s="20" t="s">
        <v>1062</v>
      </c>
      <c r="E508" s="20"/>
      <c r="F508" s="6">
        <f>F509</f>
        <v>8823.6999999999989</v>
      </c>
      <c r="G508" s="6">
        <f t="shared" ref="G508:G509" si="253">G509</f>
        <v>4933.6000000000004</v>
      </c>
      <c r="H508" s="6">
        <f t="shared" si="227"/>
        <v>55.913052347654627</v>
      </c>
    </row>
    <row r="509" spans="1:8" ht="40.700000000000003" customHeight="1" x14ac:dyDescent="0.25">
      <c r="A509" s="25" t="s">
        <v>288</v>
      </c>
      <c r="B509" s="20" t="s">
        <v>280</v>
      </c>
      <c r="C509" s="20" t="s">
        <v>134</v>
      </c>
      <c r="D509" s="20" t="s">
        <v>1062</v>
      </c>
      <c r="E509" s="20" t="s">
        <v>289</v>
      </c>
      <c r="F509" s="6">
        <f>F510</f>
        <v>8823.6999999999989</v>
      </c>
      <c r="G509" s="6">
        <f t="shared" si="253"/>
        <v>4933.6000000000004</v>
      </c>
      <c r="H509" s="6">
        <f t="shared" si="227"/>
        <v>55.913052347654627</v>
      </c>
    </row>
    <row r="510" spans="1:8" ht="15.75" x14ac:dyDescent="0.25">
      <c r="A510" s="25" t="s">
        <v>290</v>
      </c>
      <c r="B510" s="20" t="s">
        <v>280</v>
      </c>
      <c r="C510" s="20" t="s">
        <v>134</v>
      </c>
      <c r="D510" s="20" t="s">
        <v>1062</v>
      </c>
      <c r="E510" s="20" t="s">
        <v>291</v>
      </c>
      <c r="F510" s="308">
        <f>'Пр.4 ведом.20'!G559</f>
        <v>8823.6999999999989</v>
      </c>
      <c r="G510" s="308">
        <f>'Пр.4 ведом.20'!H559</f>
        <v>4933.6000000000004</v>
      </c>
      <c r="H510" s="6">
        <f t="shared" si="227"/>
        <v>55.913052347654627</v>
      </c>
    </row>
    <row r="511" spans="1:8" s="217" customFormat="1" ht="51" customHeight="1" x14ac:dyDescent="0.25">
      <c r="A511" s="25" t="s">
        <v>1238</v>
      </c>
      <c r="B511" s="20" t="s">
        <v>280</v>
      </c>
      <c r="C511" s="20" t="s">
        <v>134</v>
      </c>
      <c r="D511" s="20" t="s">
        <v>1064</v>
      </c>
      <c r="E511" s="20"/>
      <c r="F511" s="308">
        <f>F512</f>
        <v>4193.3</v>
      </c>
      <c r="G511" s="308">
        <f t="shared" ref="G511:G512" si="254">G512</f>
        <v>2359.6999999999998</v>
      </c>
      <c r="H511" s="6">
        <f t="shared" si="227"/>
        <v>56.273102329907218</v>
      </c>
    </row>
    <row r="512" spans="1:8" s="217" customFormat="1" ht="31.5" x14ac:dyDescent="0.25">
      <c r="A512" s="25" t="s">
        <v>288</v>
      </c>
      <c r="B512" s="20" t="s">
        <v>280</v>
      </c>
      <c r="C512" s="20" t="s">
        <v>134</v>
      </c>
      <c r="D512" s="20" t="s">
        <v>1064</v>
      </c>
      <c r="E512" s="20" t="s">
        <v>289</v>
      </c>
      <c r="F512" s="308">
        <f>F513</f>
        <v>4193.3</v>
      </c>
      <c r="G512" s="308">
        <f t="shared" si="254"/>
        <v>2359.6999999999998</v>
      </c>
      <c r="H512" s="6">
        <f t="shared" si="227"/>
        <v>56.273102329907218</v>
      </c>
    </row>
    <row r="513" spans="1:8" s="217" customFormat="1" ht="15.75" x14ac:dyDescent="0.25">
      <c r="A513" s="25" t="s">
        <v>290</v>
      </c>
      <c r="B513" s="20" t="s">
        <v>280</v>
      </c>
      <c r="C513" s="20" t="s">
        <v>134</v>
      </c>
      <c r="D513" s="20" t="s">
        <v>1064</v>
      </c>
      <c r="E513" s="20" t="s">
        <v>291</v>
      </c>
      <c r="F513" s="308">
        <f>'Пр.4 ведом.20'!G562</f>
        <v>4193.3</v>
      </c>
      <c r="G513" s="308">
        <f>'Пр.4 ведом.20'!H562</f>
        <v>2359.6999999999998</v>
      </c>
      <c r="H513" s="6">
        <f t="shared" si="227"/>
        <v>56.273102329907218</v>
      </c>
    </row>
    <row r="514" spans="1:8" ht="47.25" x14ac:dyDescent="0.25">
      <c r="A514" s="23" t="s">
        <v>971</v>
      </c>
      <c r="B514" s="24" t="s">
        <v>280</v>
      </c>
      <c r="C514" s="24" t="s">
        <v>134</v>
      </c>
      <c r="D514" s="24" t="s">
        <v>1021</v>
      </c>
      <c r="E514" s="24"/>
      <c r="F514" s="4">
        <f>F518+F521+F524+F527+F515</f>
        <v>85840.5</v>
      </c>
      <c r="G514" s="4">
        <f t="shared" ref="G514" si="255">G518+G521+G524+G527+G515</f>
        <v>40104.460000000006</v>
      </c>
      <c r="H514" s="4">
        <f t="shared" si="227"/>
        <v>46.719741846797262</v>
      </c>
    </row>
    <row r="515" spans="1:8" s="331" customFormat="1" ht="94.5" x14ac:dyDescent="0.25">
      <c r="A515" s="31" t="s">
        <v>309</v>
      </c>
      <c r="B515" s="338" t="s">
        <v>280</v>
      </c>
      <c r="C515" s="338" t="s">
        <v>134</v>
      </c>
      <c r="D515" s="338" t="s">
        <v>1519</v>
      </c>
      <c r="E515" s="338"/>
      <c r="F515" s="6">
        <f>F516</f>
        <v>1966.1</v>
      </c>
      <c r="G515" s="6">
        <f t="shared" ref="G515:G516" si="256">G516</f>
        <v>937.4</v>
      </c>
      <c r="H515" s="6">
        <f t="shared" si="227"/>
        <v>47.678144550124614</v>
      </c>
    </row>
    <row r="516" spans="1:8" s="331" customFormat="1" ht="31.5" x14ac:dyDescent="0.25">
      <c r="A516" s="342" t="s">
        <v>288</v>
      </c>
      <c r="B516" s="338" t="s">
        <v>280</v>
      </c>
      <c r="C516" s="338" t="s">
        <v>134</v>
      </c>
      <c r="D516" s="338" t="s">
        <v>1519</v>
      </c>
      <c r="E516" s="338" t="s">
        <v>289</v>
      </c>
      <c r="F516" s="6">
        <f>F517</f>
        <v>1966.1</v>
      </c>
      <c r="G516" s="6">
        <f t="shared" si="256"/>
        <v>937.4</v>
      </c>
      <c r="H516" s="6">
        <f t="shared" si="227"/>
        <v>47.678144550124614</v>
      </c>
    </row>
    <row r="517" spans="1:8" s="331" customFormat="1" ht="15.75" x14ac:dyDescent="0.25">
      <c r="A517" s="342" t="s">
        <v>290</v>
      </c>
      <c r="B517" s="338" t="s">
        <v>280</v>
      </c>
      <c r="C517" s="338" t="s">
        <v>134</v>
      </c>
      <c r="D517" s="338" t="s">
        <v>1519</v>
      </c>
      <c r="E517" s="338" t="s">
        <v>291</v>
      </c>
      <c r="F517" s="6">
        <f>'Пр.4 ведом.20'!G566</f>
        <v>1966.1</v>
      </c>
      <c r="G517" s="6">
        <f>'Пр.4 ведом.20'!H566</f>
        <v>937.4</v>
      </c>
      <c r="H517" s="6">
        <f t="shared" si="227"/>
        <v>47.678144550124614</v>
      </c>
    </row>
    <row r="518" spans="1:8" ht="47.25" customHeight="1" x14ac:dyDescent="0.25">
      <c r="A518" s="31" t="s">
        <v>305</v>
      </c>
      <c r="B518" s="20" t="s">
        <v>280</v>
      </c>
      <c r="C518" s="20" t="s">
        <v>134</v>
      </c>
      <c r="D518" s="20" t="s">
        <v>1020</v>
      </c>
      <c r="E518" s="20"/>
      <c r="F518" s="6">
        <f t="shared" ref="F518:G519" si="257">F519</f>
        <v>559.70000000000005</v>
      </c>
      <c r="G518" s="6">
        <f t="shared" si="257"/>
        <v>236.9</v>
      </c>
      <c r="H518" s="6">
        <f t="shared" si="227"/>
        <v>42.326246203323208</v>
      </c>
    </row>
    <row r="519" spans="1:8" ht="39.75" customHeight="1" x14ac:dyDescent="0.25">
      <c r="A519" s="25" t="s">
        <v>288</v>
      </c>
      <c r="B519" s="20" t="s">
        <v>280</v>
      </c>
      <c r="C519" s="20" t="s">
        <v>134</v>
      </c>
      <c r="D519" s="20" t="s">
        <v>1020</v>
      </c>
      <c r="E519" s="20" t="s">
        <v>289</v>
      </c>
      <c r="F519" s="6">
        <f t="shared" si="257"/>
        <v>559.70000000000005</v>
      </c>
      <c r="G519" s="6">
        <f t="shared" si="257"/>
        <v>236.9</v>
      </c>
      <c r="H519" s="6">
        <f t="shared" si="227"/>
        <v>42.326246203323208</v>
      </c>
    </row>
    <row r="520" spans="1:8" ht="15.75" customHeight="1" x14ac:dyDescent="0.25">
      <c r="A520" s="25" t="s">
        <v>290</v>
      </c>
      <c r="B520" s="20" t="s">
        <v>280</v>
      </c>
      <c r="C520" s="20" t="s">
        <v>134</v>
      </c>
      <c r="D520" s="20" t="s">
        <v>1020</v>
      </c>
      <c r="E520" s="20" t="s">
        <v>291</v>
      </c>
      <c r="F520" s="6">
        <f>'Пр.4 ведом.20'!G569</f>
        <v>559.70000000000005</v>
      </c>
      <c r="G520" s="6">
        <f>'Пр.4 ведом.20'!H569</f>
        <v>236.9</v>
      </c>
      <c r="H520" s="6">
        <f t="shared" si="227"/>
        <v>42.326246203323208</v>
      </c>
    </row>
    <row r="521" spans="1:8" ht="71.45" customHeight="1" x14ac:dyDescent="0.25">
      <c r="A521" s="31" t="s">
        <v>307</v>
      </c>
      <c r="B521" s="20" t="s">
        <v>280</v>
      </c>
      <c r="C521" s="20" t="s">
        <v>134</v>
      </c>
      <c r="D521" s="20" t="s">
        <v>1023</v>
      </c>
      <c r="E521" s="20"/>
      <c r="F521" s="6">
        <f t="shared" ref="F521:G522" si="258">F522</f>
        <v>1629.3</v>
      </c>
      <c r="G521" s="6">
        <f t="shared" si="258"/>
        <v>750.4</v>
      </c>
      <c r="H521" s="6">
        <f t="shared" si="227"/>
        <v>46.056588719081816</v>
      </c>
    </row>
    <row r="522" spans="1:8" ht="47.25" customHeight="1" x14ac:dyDescent="0.25">
      <c r="A522" s="25" t="s">
        <v>288</v>
      </c>
      <c r="B522" s="20" t="s">
        <v>280</v>
      </c>
      <c r="C522" s="20" t="s">
        <v>134</v>
      </c>
      <c r="D522" s="20" t="s">
        <v>1023</v>
      </c>
      <c r="E522" s="20" t="s">
        <v>289</v>
      </c>
      <c r="F522" s="6">
        <f t="shared" si="258"/>
        <v>1629.3</v>
      </c>
      <c r="G522" s="6">
        <f t="shared" si="258"/>
        <v>750.4</v>
      </c>
      <c r="H522" s="6">
        <f t="shared" si="227"/>
        <v>46.056588719081816</v>
      </c>
    </row>
    <row r="523" spans="1:8" ht="15.75" customHeight="1" x14ac:dyDescent="0.25">
      <c r="A523" s="25" t="s">
        <v>290</v>
      </c>
      <c r="B523" s="20" t="s">
        <v>280</v>
      </c>
      <c r="C523" s="20" t="s">
        <v>134</v>
      </c>
      <c r="D523" s="20" t="s">
        <v>1023</v>
      </c>
      <c r="E523" s="20" t="s">
        <v>291</v>
      </c>
      <c r="F523" s="6">
        <f>'Пр.4 ведом.20'!G572</f>
        <v>1629.3</v>
      </c>
      <c r="G523" s="6">
        <f>'Пр.4 ведом.20'!H572</f>
        <v>750.4</v>
      </c>
      <c r="H523" s="6">
        <f t="shared" ref="H523:H586" si="259">G523/F523*100</f>
        <v>46.056588719081816</v>
      </c>
    </row>
    <row r="524" spans="1:8" ht="94.5" x14ac:dyDescent="0.25">
      <c r="A524" s="31" t="s">
        <v>1456</v>
      </c>
      <c r="B524" s="20" t="s">
        <v>280</v>
      </c>
      <c r="C524" s="20" t="s">
        <v>134</v>
      </c>
      <c r="D524" s="20" t="s">
        <v>1022</v>
      </c>
      <c r="E524" s="20"/>
      <c r="F524" s="6">
        <f t="shared" ref="F524:G525" si="260">F525</f>
        <v>80735.399999999994</v>
      </c>
      <c r="G524" s="6">
        <f t="shared" si="260"/>
        <v>37229.760000000002</v>
      </c>
      <c r="H524" s="6">
        <f t="shared" si="259"/>
        <v>46.113303457962687</v>
      </c>
    </row>
    <row r="525" spans="1:8" ht="31.5" x14ac:dyDescent="0.25">
      <c r="A525" s="25" t="s">
        <v>288</v>
      </c>
      <c r="B525" s="20" t="s">
        <v>280</v>
      </c>
      <c r="C525" s="20" t="s">
        <v>134</v>
      </c>
      <c r="D525" s="20" t="s">
        <v>1022</v>
      </c>
      <c r="E525" s="20" t="s">
        <v>289</v>
      </c>
      <c r="F525" s="6">
        <f t="shared" si="260"/>
        <v>80735.399999999994</v>
      </c>
      <c r="G525" s="6">
        <f t="shared" si="260"/>
        <v>37229.760000000002</v>
      </c>
      <c r="H525" s="6">
        <f t="shared" si="259"/>
        <v>46.113303457962687</v>
      </c>
    </row>
    <row r="526" spans="1:8" ht="15.75" x14ac:dyDescent="0.25">
      <c r="A526" s="25" t="s">
        <v>290</v>
      </c>
      <c r="B526" s="20" t="s">
        <v>280</v>
      </c>
      <c r="C526" s="20" t="s">
        <v>134</v>
      </c>
      <c r="D526" s="20" t="s">
        <v>1022</v>
      </c>
      <c r="E526" s="20" t="s">
        <v>291</v>
      </c>
      <c r="F526" s="6">
        <f>'Пр.4 ведом.20'!G575</f>
        <v>80735.399999999994</v>
      </c>
      <c r="G526" s="6">
        <f>'Пр.4 ведом.20'!H575</f>
        <v>37229.760000000002</v>
      </c>
      <c r="H526" s="6">
        <f t="shared" si="259"/>
        <v>46.113303457962687</v>
      </c>
    </row>
    <row r="527" spans="1:8" ht="94.5" x14ac:dyDescent="0.25">
      <c r="A527" s="31" t="s">
        <v>309</v>
      </c>
      <c r="B527" s="20" t="s">
        <v>280</v>
      </c>
      <c r="C527" s="20" t="s">
        <v>134</v>
      </c>
      <c r="D527" s="20" t="s">
        <v>1024</v>
      </c>
      <c r="E527" s="20"/>
      <c r="F527" s="6">
        <f t="shared" ref="F527:G528" si="261">F528</f>
        <v>950.00000000000045</v>
      </c>
      <c r="G527" s="6">
        <f t="shared" si="261"/>
        <v>950</v>
      </c>
      <c r="H527" s="6">
        <f t="shared" si="259"/>
        <v>99.999999999999957</v>
      </c>
    </row>
    <row r="528" spans="1:8" ht="31.5" x14ac:dyDescent="0.25">
      <c r="A528" s="25" t="s">
        <v>288</v>
      </c>
      <c r="B528" s="20" t="s">
        <v>280</v>
      </c>
      <c r="C528" s="20" t="s">
        <v>134</v>
      </c>
      <c r="D528" s="20" t="s">
        <v>1024</v>
      </c>
      <c r="E528" s="20" t="s">
        <v>289</v>
      </c>
      <c r="F528" s="6">
        <f t="shared" si="261"/>
        <v>950.00000000000045</v>
      </c>
      <c r="G528" s="6">
        <f t="shared" si="261"/>
        <v>950</v>
      </c>
      <c r="H528" s="6">
        <f t="shared" si="259"/>
        <v>99.999999999999957</v>
      </c>
    </row>
    <row r="529" spans="1:8" ht="15.75" x14ac:dyDescent="0.25">
      <c r="A529" s="25" t="s">
        <v>290</v>
      </c>
      <c r="B529" s="20" t="s">
        <v>280</v>
      </c>
      <c r="C529" s="20" t="s">
        <v>134</v>
      </c>
      <c r="D529" s="20" t="s">
        <v>1024</v>
      </c>
      <c r="E529" s="20" t="s">
        <v>291</v>
      </c>
      <c r="F529" s="6">
        <f>'Пр.4 ведом.20'!G578</f>
        <v>950.00000000000045</v>
      </c>
      <c r="G529" s="6">
        <f>'Пр.4 ведом.20'!H578</f>
        <v>950</v>
      </c>
      <c r="H529" s="6">
        <f t="shared" si="259"/>
        <v>99.999999999999957</v>
      </c>
    </row>
    <row r="530" spans="1:8" ht="31.7" customHeight="1" x14ac:dyDescent="0.25">
      <c r="A530" s="23" t="s">
        <v>427</v>
      </c>
      <c r="B530" s="24" t="s">
        <v>280</v>
      </c>
      <c r="C530" s="24" t="s">
        <v>134</v>
      </c>
      <c r="D530" s="24" t="s">
        <v>428</v>
      </c>
      <c r="E530" s="24"/>
      <c r="F530" s="4">
        <f>F531+F541+F551+F563</f>
        <v>11069</v>
      </c>
      <c r="G530" s="4">
        <f>G531+G541+G551+G563</f>
        <v>5850.3</v>
      </c>
      <c r="H530" s="4">
        <f t="shared" si="259"/>
        <v>52.853012918962875</v>
      </c>
    </row>
    <row r="531" spans="1:8" ht="36" customHeight="1" x14ac:dyDescent="0.25">
      <c r="A531" s="23" t="s">
        <v>1007</v>
      </c>
      <c r="B531" s="24" t="s">
        <v>280</v>
      </c>
      <c r="C531" s="24" t="s">
        <v>134</v>
      </c>
      <c r="D531" s="24" t="s">
        <v>1008</v>
      </c>
      <c r="E531" s="24"/>
      <c r="F531" s="4">
        <f>F532+F535+F538</f>
        <v>4430</v>
      </c>
      <c r="G531" s="4">
        <f t="shared" ref="G531" si="262">G532+G535+G538</f>
        <v>2430.3000000000002</v>
      </c>
      <c r="H531" s="4">
        <f t="shared" si="259"/>
        <v>54.860045146726868</v>
      </c>
    </row>
    <row r="532" spans="1:8" ht="40.700000000000003" hidden="1" customHeight="1" x14ac:dyDescent="0.25">
      <c r="A532" s="25" t="s">
        <v>294</v>
      </c>
      <c r="B532" s="20" t="s">
        <v>280</v>
      </c>
      <c r="C532" s="20" t="s">
        <v>134</v>
      </c>
      <c r="D532" s="20" t="s">
        <v>1009</v>
      </c>
      <c r="E532" s="20"/>
      <c r="F532" s="6">
        <f>F533</f>
        <v>0</v>
      </c>
      <c r="G532" s="6">
        <f t="shared" ref="G532" si="263">G533</f>
        <v>0</v>
      </c>
      <c r="H532" s="6" t="e">
        <f t="shared" si="259"/>
        <v>#DIV/0!</v>
      </c>
    </row>
    <row r="533" spans="1:8" ht="42" hidden="1" customHeight="1" x14ac:dyDescent="0.25">
      <c r="A533" s="25" t="s">
        <v>288</v>
      </c>
      <c r="B533" s="20" t="s">
        <v>280</v>
      </c>
      <c r="C533" s="20" t="s">
        <v>134</v>
      </c>
      <c r="D533" s="20" t="s">
        <v>1009</v>
      </c>
      <c r="E533" s="20" t="s">
        <v>289</v>
      </c>
      <c r="F533" s="6">
        <f t="shared" ref="F533:G533" si="264">F534</f>
        <v>0</v>
      </c>
      <c r="G533" s="6">
        <f t="shared" si="264"/>
        <v>0</v>
      </c>
      <c r="H533" s="6" t="e">
        <f t="shared" si="259"/>
        <v>#DIV/0!</v>
      </c>
    </row>
    <row r="534" spans="1:8" ht="20.25" hidden="1" customHeight="1" x14ac:dyDescent="0.25">
      <c r="A534" s="25" t="s">
        <v>290</v>
      </c>
      <c r="B534" s="20" t="s">
        <v>280</v>
      </c>
      <c r="C534" s="20" t="s">
        <v>134</v>
      </c>
      <c r="D534" s="20" t="s">
        <v>1009</v>
      </c>
      <c r="E534" s="20" t="s">
        <v>291</v>
      </c>
      <c r="F534" s="6">
        <f>'Пр.4 ведом.20'!G583</f>
        <v>0</v>
      </c>
      <c r="G534" s="6">
        <f>'Пр.4 ведом.20'!H583</f>
        <v>0</v>
      </c>
      <c r="H534" s="6" t="e">
        <f t="shared" si="259"/>
        <v>#DIV/0!</v>
      </c>
    </row>
    <row r="535" spans="1:8" ht="39.200000000000003" hidden="1" customHeight="1" x14ac:dyDescent="0.25">
      <c r="A535" s="25" t="s">
        <v>296</v>
      </c>
      <c r="B535" s="20" t="s">
        <v>280</v>
      </c>
      <c r="C535" s="20" t="s">
        <v>134</v>
      </c>
      <c r="D535" s="20" t="s">
        <v>1010</v>
      </c>
      <c r="E535" s="20"/>
      <c r="F535" s="6">
        <f>F536</f>
        <v>0</v>
      </c>
      <c r="G535" s="6">
        <f t="shared" ref="G535" si="265">G536</f>
        <v>0</v>
      </c>
      <c r="H535" s="6" t="e">
        <f t="shared" si="259"/>
        <v>#DIV/0!</v>
      </c>
    </row>
    <row r="536" spans="1:8" ht="35.450000000000003" hidden="1" customHeight="1" x14ac:dyDescent="0.25">
      <c r="A536" s="25" t="s">
        <v>288</v>
      </c>
      <c r="B536" s="20" t="s">
        <v>280</v>
      </c>
      <c r="C536" s="20" t="s">
        <v>134</v>
      </c>
      <c r="D536" s="20" t="s">
        <v>1010</v>
      </c>
      <c r="E536" s="20" t="s">
        <v>289</v>
      </c>
      <c r="F536" s="6">
        <f t="shared" ref="F536:G536" si="266">F537</f>
        <v>0</v>
      </c>
      <c r="G536" s="6">
        <f t="shared" si="266"/>
        <v>0</v>
      </c>
      <c r="H536" s="6" t="e">
        <f t="shared" si="259"/>
        <v>#DIV/0!</v>
      </c>
    </row>
    <row r="537" spans="1:8" ht="17.45" hidden="1" customHeight="1" x14ac:dyDescent="0.25">
      <c r="A537" s="25" t="s">
        <v>290</v>
      </c>
      <c r="B537" s="20" t="s">
        <v>280</v>
      </c>
      <c r="C537" s="20" t="s">
        <v>134</v>
      </c>
      <c r="D537" s="20" t="s">
        <v>1010</v>
      </c>
      <c r="E537" s="20" t="s">
        <v>291</v>
      </c>
      <c r="F537" s="6">
        <f>'Пр.4 ведом.20'!G586</f>
        <v>0</v>
      </c>
      <c r="G537" s="6">
        <f>'Пр.4 ведом.20'!H586</f>
        <v>0</v>
      </c>
      <c r="H537" s="6" t="e">
        <f t="shared" si="259"/>
        <v>#DIV/0!</v>
      </c>
    </row>
    <row r="538" spans="1:8" ht="38.25" customHeight="1" x14ac:dyDescent="0.25">
      <c r="A538" s="29" t="s">
        <v>431</v>
      </c>
      <c r="B538" s="20" t="s">
        <v>280</v>
      </c>
      <c r="C538" s="20" t="s">
        <v>134</v>
      </c>
      <c r="D538" s="20" t="s">
        <v>1011</v>
      </c>
      <c r="E538" s="20"/>
      <c r="F538" s="6">
        <f>F539</f>
        <v>4430</v>
      </c>
      <c r="G538" s="6">
        <f t="shared" ref="G538:G539" si="267">G539</f>
        <v>2430.3000000000002</v>
      </c>
      <c r="H538" s="6">
        <f t="shared" si="259"/>
        <v>54.860045146726868</v>
      </c>
    </row>
    <row r="539" spans="1:8" ht="34.5" customHeight="1" x14ac:dyDescent="0.25">
      <c r="A539" s="25" t="s">
        <v>288</v>
      </c>
      <c r="B539" s="20" t="s">
        <v>280</v>
      </c>
      <c r="C539" s="20" t="s">
        <v>134</v>
      </c>
      <c r="D539" s="20" t="s">
        <v>1011</v>
      </c>
      <c r="E539" s="20" t="s">
        <v>289</v>
      </c>
      <c r="F539" s="6">
        <f>F540</f>
        <v>4430</v>
      </c>
      <c r="G539" s="6">
        <f t="shared" si="267"/>
        <v>2430.3000000000002</v>
      </c>
      <c r="H539" s="6">
        <f t="shared" si="259"/>
        <v>54.860045146726868</v>
      </c>
    </row>
    <row r="540" spans="1:8" ht="15.75" x14ac:dyDescent="0.25">
      <c r="A540" s="25" t="s">
        <v>290</v>
      </c>
      <c r="B540" s="20" t="s">
        <v>280</v>
      </c>
      <c r="C540" s="20" t="s">
        <v>134</v>
      </c>
      <c r="D540" s="20" t="s">
        <v>1011</v>
      </c>
      <c r="E540" s="20" t="s">
        <v>291</v>
      </c>
      <c r="F540" s="6">
        <f>'Пр.4 ведом.20'!G589</f>
        <v>4430</v>
      </c>
      <c r="G540" s="6">
        <f>'Пр.4 ведом.20'!H589</f>
        <v>2430.3000000000002</v>
      </c>
      <c r="H540" s="6">
        <f t="shared" si="259"/>
        <v>54.860045146726868</v>
      </c>
    </row>
    <row r="541" spans="1:8" ht="31.5" x14ac:dyDescent="0.25">
      <c r="A541" s="231" t="s">
        <v>1077</v>
      </c>
      <c r="B541" s="24" t="s">
        <v>280</v>
      </c>
      <c r="C541" s="24" t="s">
        <v>134</v>
      </c>
      <c r="D541" s="24" t="s">
        <v>1012</v>
      </c>
      <c r="E541" s="24"/>
      <c r="F541" s="4">
        <f>F542+F545+F548</f>
        <v>4610</v>
      </c>
      <c r="G541" s="4">
        <f t="shared" ref="G541" si="268">G542+G545+G548</f>
        <v>3420</v>
      </c>
      <c r="H541" s="4">
        <f t="shared" si="259"/>
        <v>74.186550976138832</v>
      </c>
    </row>
    <row r="542" spans="1:8" ht="31.5" hidden="1" x14ac:dyDescent="0.25">
      <c r="A542" s="25" t="s">
        <v>300</v>
      </c>
      <c r="B542" s="20" t="s">
        <v>280</v>
      </c>
      <c r="C542" s="20" t="s">
        <v>134</v>
      </c>
      <c r="D542" s="20" t="s">
        <v>1013</v>
      </c>
      <c r="E542" s="20"/>
      <c r="F542" s="6">
        <f>F543</f>
        <v>0</v>
      </c>
      <c r="G542" s="6">
        <f t="shared" ref="G542:G543" si="269">G543</f>
        <v>0</v>
      </c>
      <c r="H542" s="6" t="e">
        <f t="shared" si="259"/>
        <v>#DIV/0!</v>
      </c>
    </row>
    <row r="543" spans="1:8" ht="31.5" hidden="1" x14ac:dyDescent="0.25">
      <c r="A543" s="25" t="s">
        <v>288</v>
      </c>
      <c r="B543" s="20" t="s">
        <v>280</v>
      </c>
      <c r="C543" s="20" t="s">
        <v>134</v>
      </c>
      <c r="D543" s="20" t="s">
        <v>1013</v>
      </c>
      <c r="E543" s="20" t="s">
        <v>289</v>
      </c>
      <c r="F543" s="6">
        <f>F544</f>
        <v>0</v>
      </c>
      <c r="G543" s="6">
        <f t="shared" si="269"/>
        <v>0</v>
      </c>
      <c r="H543" s="6" t="e">
        <f t="shared" si="259"/>
        <v>#DIV/0!</v>
      </c>
    </row>
    <row r="544" spans="1:8" ht="15.75" hidden="1" x14ac:dyDescent="0.25">
      <c r="A544" s="25" t="s">
        <v>290</v>
      </c>
      <c r="B544" s="20" t="s">
        <v>280</v>
      </c>
      <c r="C544" s="20" t="s">
        <v>134</v>
      </c>
      <c r="D544" s="20" t="s">
        <v>1013</v>
      </c>
      <c r="E544" s="20" t="s">
        <v>291</v>
      </c>
      <c r="F544" s="6">
        <f>'Пр.4 ведом.20'!G593</f>
        <v>0</v>
      </c>
      <c r="G544" s="6">
        <f>'Пр.4 ведом.20'!H593</f>
        <v>0</v>
      </c>
      <c r="H544" s="6" t="e">
        <f t="shared" si="259"/>
        <v>#DIV/0!</v>
      </c>
    </row>
    <row r="545" spans="1:8" ht="31.5" x14ac:dyDescent="0.25">
      <c r="A545" s="60" t="s">
        <v>787</v>
      </c>
      <c r="B545" s="20" t="s">
        <v>280</v>
      </c>
      <c r="C545" s="20" t="s">
        <v>134</v>
      </c>
      <c r="D545" s="20" t="s">
        <v>1014</v>
      </c>
      <c r="E545" s="20"/>
      <c r="F545" s="6">
        <f>F546</f>
        <v>2850</v>
      </c>
      <c r="G545" s="6">
        <f t="shared" ref="G545:G546" si="270">G546</f>
        <v>2800</v>
      </c>
      <c r="H545" s="6">
        <f t="shared" si="259"/>
        <v>98.245614035087712</v>
      </c>
    </row>
    <row r="546" spans="1:8" ht="31.5" x14ac:dyDescent="0.25">
      <c r="A546" s="29" t="s">
        <v>288</v>
      </c>
      <c r="B546" s="20" t="s">
        <v>280</v>
      </c>
      <c r="C546" s="20" t="s">
        <v>134</v>
      </c>
      <c r="D546" s="20" t="s">
        <v>1014</v>
      </c>
      <c r="E546" s="20" t="s">
        <v>289</v>
      </c>
      <c r="F546" s="6">
        <f>F547</f>
        <v>2850</v>
      </c>
      <c r="G546" s="6">
        <f t="shared" si="270"/>
        <v>2800</v>
      </c>
      <c r="H546" s="6">
        <f t="shared" si="259"/>
        <v>98.245614035087712</v>
      </c>
    </row>
    <row r="547" spans="1:8" ht="15.75" x14ac:dyDescent="0.25">
      <c r="A547" s="192" t="s">
        <v>290</v>
      </c>
      <c r="B547" s="20" t="s">
        <v>280</v>
      </c>
      <c r="C547" s="20" t="s">
        <v>134</v>
      </c>
      <c r="D547" s="20" t="s">
        <v>1014</v>
      </c>
      <c r="E547" s="20" t="s">
        <v>291</v>
      </c>
      <c r="F547" s="6">
        <f>'Пр.4 ведом.20'!G596</f>
        <v>2850</v>
      </c>
      <c r="G547" s="6">
        <f>'Пр.4 ведом.20'!H596</f>
        <v>2800</v>
      </c>
      <c r="H547" s="6">
        <f t="shared" si="259"/>
        <v>98.245614035087712</v>
      </c>
    </row>
    <row r="548" spans="1:8" ht="47.25" x14ac:dyDescent="0.25">
      <c r="A548" s="60" t="s">
        <v>788</v>
      </c>
      <c r="B548" s="20" t="s">
        <v>280</v>
      </c>
      <c r="C548" s="20" t="s">
        <v>134</v>
      </c>
      <c r="D548" s="20" t="s">
        <v>1015</v>
      </c>
      <c r="E548" s="20"/>
      <c r="F548" s="6">
        <f>F549</f>
        <v>1760</v>
      </c>
      <c r="G548" s="6">
        <f t="shared" ref="G548:G549" si="271">G549</f>
        <v>620</v>
      </c>
      <c r="H548" s="6">
        <f t="shared" si="259"/>
        <v>35.227272727272727</v>
      </c>
    </row>
    <row r="549" spans="1:8" ht="31.5" x14ac:dyDescent="0.25">
      <c r="A549" s="29" t="s">
        <v>288</v>
      </c>
      <c r="B549" s="20" t="s">
        <v>280</v>
      </c>
      <c r="C549" s="20" t="s">
        <v>134</v>
      </c>
      <c r="D549" s="20" t="s">
        <v>1015</v>
      </c>
      <c r="E549" s="20" t="s">
        <v>289</v>
      </c>
      <c r="F549" s="6">
        <f>F550</f>
        <v>1760</v>
      </c>
      <c r="G549" s="6">
        <f t="shared" si="271"/>
        <v>620</v>
      </c>
      <c r="H549" s="6">
        <f t="shared" si="259"/>
        <v>35.227272727272727</v>
      </c>
    </row>
    <row r="550" spans="1:8" ht="15.75" x14ac:dyDescent="0.25">
      <c r="A550" s="192" t="s">
        <v>290</v>
      </c>
      <c r="B550" s="20" t="s">
        <v>280</v>
      </c>
      <c r="C550" s="20" t="s">
        <v>134</v>
      </c>
      <c r="D550" s="20" t="s">
        <v>1015</v>
      </c>
      <c r="E550" s="20" t="s">
        <v>291</v>
      </c>
      <c r="F550" s="6">
        <f>'Пр.4 ведом.20'!G599</f>
        <v>1760</v>
      </c>
      <c r="G550" s="6">
        <f>'Пр.4 ведом.20'!H599</f>
        <v>620</v>
      </c>
      <c r="H550" s="6">
        <f t="shared" si="259"/>
        <v>35.227272727272727</v>
      </c>
    </row>
    <row r="551" spans="1:8" ht="65.25" customHeight="1" x14ac:dyDescent="0.25">
      <c r="A551" s="23" t="s">
        <v>1016</v>
      </c>
      <c r="B551" s="24" t="s">
        <v>280</v>
      </c>
      <c r="C551" s="24" t="s">
        <v>134</v>
      </c>
      <c r="D551" s="24" t="s">
        <v>1017</v>
      </c>
      <c r="E551" s="24"/>
      <c r="F551" s="4">
        <f>F552+F555</f>
        <v>291.10000000000002</v>
      </c>
      <c r="G551" s="4">
        <f t="shared" ref="G551" si="272">G552+G555</f>
        <v>0</v>
      </c>
      <c r="H551" s="4">
        <f t="shared" si="259"/>
        <v>0</v>
      </c>
    </row>
    <row r="552" spans="1:8" ht="126" x14ac:dyDescent="0.25">
      <c r="A552" s="25" t="s">
        <v>1464</v>
      </c>
      <c r="B552" s="20" t="s">
        <v>280</v>
      </c>
      <c r="C552" s="20" t="s">
        <v>134</v>
      </c>
      <c r="D552" s="20" t="s">
        <v>1018</v>
      </c>
      <c r="E552" s="20"/>
      <c r="F552" s="6">
        <f>F553</f>
        <v>124.4</v>
      </c>
      <c r="G552" s="6">
        <f t="shared" ref="G552:G553" si="273">G553</f>
        <v>0</v>
      </c>
      <c r="H552" s="6">
        <f t="shared" si="259"/>
        <v>0</v>
      </c>
    </row>
    <row r="553" spans="1:8" ht="31.5" x14ac:dyDescent="0.25">
      <c r="A553" s="29" t="s">
        <v>288</v>
      </c>
      <c r="B553" s="20" t="s">
        <v>280</v>
      </c>
      <c r="C553" s="20" t="s">
        <v>134</v>
      </c>
      <c r="D553" s="20" t="s">
        <v>1018</v>
      </c>
      <c r="E553" s="20" t="s">
        <v>289</v>
      </c>
      <c r="F553" s="6">
        <f>F554</f>
        <v>124.4</v>
      </c>
      <c r="G553" s="6">
        <f t="shared" si="273"/>
        <v>0</v>
      </c>
      <c r="H553" s="6">
        <f t="shared" si="259"/>
        <v>0</v>
      </c>
    </row>
    <row r="554" spans="1:8" ht="15.75" x14ac:dyDescent="0.25">
      <c r="A554" s="192" t="s">
        <v>290</v>
      </c>
      <c r="B554" s="20" t="s">
        <v>280</v>
      </c>
      <c r="C554" s="20" t="s">
        <v>134</v>
      </c>
      <c r="D554" s="20" t="s">
        <v>1018</v>
      </c>
      <c r="E554" s="20" t="s">
        <v>291</v>
      </c>
      <c r="F554" s="6">
        <f>'Пр.4 ведом.20'!G603</f>
        <v>124.4</v>
      </c>
      <c r="G554" s="6">
        <f>'Пр.4 ведом.20'!H603</f>
        <v>0</v>
      </c>
      <c r="H554" s="6">
        <f t="shared" si="259"/>
        <v>0</v>
      </c>
    </row>
    <row r="555" spans="1:8" ht="126" x14ac:dyDescent="0.25">
      <c r="A555" s="25" t="s">
        <v>439</v>
      </c>
      <c r="B555" s="20" t="s">
        <v>280</v>
      </c>
      <c r="C555" s="20" t="s">
        <v>134</v>
      </c>
      <c r="D555" s="20" t="s">
        <v>1019</v>
      </c>
      <c r="E555" s="20"/>
      <c r="F555" s="6">
        <f t="shared" ref="F555:G556" si="274">F556</f>
        <v>166.7</v>
      </c>
      <c r="G555" s="6">
        <f t="shared" si="274"/>
        <v>0</v>
      </c>
      <c r="H555" s="6">
        <f t="shared" si="259"/>
        <v>0</v>
      </c>
    </row>
    <row r="556" spans="1:8" ht="31.5" x14ac:dyDescent="0.25">
      <c r="A556" s="25" t="s">
        <v>288</v>
      </c>
      <c r="B556" s="20" t="s">
        <v>280</v>
      </c>
      <c r="C556" s="20" t="s">
        <v>134</v>
      </c>
      <c r="D556" s="20" t="s">
        <v>1019</v>
      </c>
      <c r="E556" s="20" t="s">
        <v>289</v>
      </c>
      <c r="F556" s="6">
        <f t="shared" si="274"/>
        <v>166.7</v>
      </c>
      <c r="G556" s="6">
        <f t="shared" si="274"/>
        <v>0</v>
      </c>
      <c r="H556" s="6">
        <f t="shared" si="259"/>
        <v>0</v>
      </c>
    </row>
    <row r="557" spans="1:8" ht="15.75" x14ac:dyDescent="0.25">
      <c r="A557" s="25" t="s">
        <v>290</v>
      </c>
      <c r="B557" s="20" t="s">
        <v>280</v>
      </c>
      <c r="C557" s="20" t="s">
        <v>134</v>
      </c>
      <c r="D557" s="20" t="s">
        <v>1019</v>
      </c>
      <c r="E557" s="20" t="s">
        <v>291</v>
      </c>
      <c r="F557" s="6">
        <f>'Пр.4 ведом.20'!G606</f>
        <v>166.7</v>
      </c>
      <c r="G557" s="6">
        <f>'Пр.4 ведом.20'!H606</f>
        <v>0</v>
      </c>
      <c r="H557" s="6">
        <f t="shared" si="259"/>
        <v>0</v>
      </c>
    </row>
    <row r="558" spans="1:8" ht="65.25" hidden="1" customHeight="1" x14ac:dyDescent="0.25">
      <c r="A558" s="34" t="s">
        <v>805</v>
      </c>
      <c r="B558" s="24" t="s">
        <v>280</v>
      </c>
      <c r="C558" s="24" t="s">
        <v>134</v>
      </c>
      <c r="D558" s="24" t="s">
        <v>340</v>
      </c>
      <c r="E558" s="24"/>
      <c r="F558" s="4">
        <f>F559</f>
        <v>0</v>
      </c>
      <c r="G558" s="4">
        <f t="shared" ref="G558:G560" si="275">G559</f>
        <v>0</v>
      </c>
      <c r="H558" s="6" t="e">
        <f t="shared" si="259"/>
        <v>#DIV/0!</v>
      </c>
    </row>
    <row r="559" spans="1:8" ht="63" hidden="1" x14ac:dyDescent="0.25">
      <c r="A559" s="34" t="s">
        <v>1162</v>
      </c>
      <c r="B559" s="24" t="s">
        <v>280</v>
      </c>
      <c r="C559" s="24" t="s">
        <v>134</v>
      </c>
      <c r="D559" s="24" t="s">
        <v>1025</v>
      </c>
      <c r="E559" s="24"/>
      <c r="F559" s="4">
        <f>F560</f>
        <v>0</v>
      </c>
      <c r="G559" s="4">
        <f t="shared" si="275"/>
        <v>0</v>
      </c>
      <c r="H559" s="6" t="e">
        <f t="shared" si="259"/>
        <v>#DIV/0!</v>
      </c>
    </row>
    <row r="560" spans="1:8" ht="47.25" hidden="1" x14ac:dyDescent="0.25">
      <c r="A560" s="31" t="s">
        <v>1161</v>
      </c>
      <c r="B560" s="20" t="s">
        <v>280</v>
      </c>
      <c r="C560" s="20" t="s">
        <v>134</v>
      </c>
      <c r="D560" s="20" t="s">
        <v>1026</v>
      </c>
      <c r="E560" s="20"/>
      <c r="F560" s="6">
        <f>F561</f>
        <v>0</v>
      </c>
      <c r="G560" s="6">
        <f t="shared" si="275"/>
        <v>0</v>
      </c>
      <c r="H560" s="6" t="e">
        <f t="shared" si="259"/>
        <v>#DIV/0!</v>
      </c>
    </row>
    <row r="561" spans="1:8" ht="31.5" hidden="1" x14ac:dyDescent="0.25">
      <c r="A561" s="31" t="s">
        <v>288</v>
      </c>
      <c r="B561" s="20" t="s">
        <v>280</v>
      </c>
      <c r="C561" s="20" t="s">
        <v>134</v>
      </c>
      <c r="D561" s="20" t="s">
        <v>1026</v>
      </c>
      <c r="E561" s="20" t="s">
        <v>289</v>
      </c>
      <c r="F561" s="6">
        <f t="shared" ref="F561:G561" si="276">F562</f>
        <v>0</v>
      </c>
      <c r="G561" s="6">
        <f t="shared" si="276"/>
        <v>0</v>
      </c>
      <c r="H561" s="6" t="e">
        <f t="shared" si="259"/>
        <v>#DIV/0!</v>
      </c>
    </row>
    <row r="562" spans="1:8" ht="15.75" hidden="1" x14ac:dyDescent="0.25">
      <c r="A562" s="31" t="s">
        <v>290</v>
      </c>
      <c r="B562" s="20" t="s">
        <v>280</v>
      </c>
      <c r="C562" s="20" t="s">
        <v>134</v>
      </c>
      <c r="D562" s="20" t="s">
        <v>1026</v>
      </c>
      <c r="E562" s="20" t="s">
        <v>291</v>
      </c>
      <c r="F562" s="6">
        <f>'Пр.4 ведом.20'!G618</f>
        <v>0</v>
      </c>
      <c r="G562" s="6">
        <f>'Пр.4 ведом.20'!H618</f>
        <v>0</v>
      </c>
      <c r="H562" s="6" t="e">
        <f t="shared" si="259"/>
        <v>#DIV/0!</v>
      </c>
    </row>
    <row r="563" spans="1:8" s="217" customFormat="1" ht="94.5" x14ac:dyDescent="0.25">
      <c r="A563" s="23" t="s">
        <v>1401</v>
      </c>
      <c r="B563" s="24" t="s">
        <v>280</v>
      </c>
      <c r="C563" s="24" t="s">
        <v>134</v>
      </c>
      <c r="D563" s="24" t="s">
        <v>1399</v>
      </c>
      <c r="E563" s="24"/>
      <c r="F563" s="21">
        <f>F564+F567</f>
        <v>1737.8999999999999</v>
      </c>
      <c r="G563" s="339">
        <f t="shared" ref="G563" si="277">G564+G567</f>
        <v>0</v>
      </c>
      <c r="H563" s="4">
        <f t="shared" si="259"/>
        <v>0</v>
      </c>
    </row>
    <row r="564" spans="1:8" s="217" customFormat="1" ht="94.5" x14ac:dyDescent="0.25">
      <c r="A564" s="151" t="s">
        <v>1465</v>
      </c>
      <c r="B564" s="20" t="s">
        <v>280</v>
      </c>
      <c r="C564" s="20" t="s">
        <v>134</v>
      </c>
      <c r="D564" s="20" t="s">
        <v>1403</v>
      </c>
      <c r="E564" s="20"/>
      <c r="F564" s="26">
        <f>F565</f>
        <v>71.3</v>
      </c>
      <c r="G564" s="343">
        <f t="shared" ref="G564:G565" si="278">G565</f>
        <v>0</v>
      </c>
      <c r="H564" s="6">
        <f t="shared" si="259"/>
        <v>0</v>
      </c>
    </row>
    <row r="565" spans="1:8" s="217" customFormat="1" ht="31.5" x14ac:dyDescent="0.25">
      <c r="A565" s="25" t="s">
        <v>288</v>
      </c>
      <c r="B565" s="20" t="s">
        <v>280</v>
      </c>
      <c r="C565" s="20" t="s">
        <v>134</v>
      </c>
      <c r="D565" s="20" t="s">
        <v>1403</v>
      </c>
      <c r="E565" s="20" t="s">
        <v>289</v>
      </c>
      <c r="F565" s="26">
        <f>F566</f>
        <v>71.3</v>
      </c>
      <c r="G565" s="343">
        <f t="shared" si="278"/>
        <v>0</v>
      </c>
      <c r="H565" s="6">
        <f t="shared" si="259"/>
        <v>0</v>
      </c>
    </row>
    <row r="566" spans="1:8" s="217" customFormat="1" ht="15.75" x14ac:dyDescent="0.25">
      <c r="A566" s="25" t="s">
        <v>290</v>
      </c>
      <c r="B566" s="20" t="s">
        <v>280</v>
      </c>
      <c r="C566" s="20" t="s">
        <v>134</v>
      </c>
      <c r="D566" s="20" t="s">
        <v>1403</v>
      </c>
      <c r="E566" s="20" t="s">
        <v>291</v>
      </c>
      <c r="F566" s="26">
        <f>'Пр.4 ведом.20'!G610</f>
        <v>71.3</v>
      </c>
      <c r="G566" s="343">
        <f>'Пр.4 ведом.20'!H610</f>
        <v>0</v>
      </c>
      <c r="H566" s="6">
        <f t="shared" si="259"/>
        <v>0</v>
      </c>
    </row>
    <row r="567" spans="1:8" s="217" customFormat="1" ht="97.5" customHeight="1" x14ac:dyDescent="0.25">
      <c r="A567" s="151" t="s">
        <v>1400</v>
      </c>
      <c r="B567" s="20" t="s">
        <v>280</v>
      </c>
      <c r="C567" s="20" t="s">
        <v>134</v>
      </c>
      <c r="D567" s="20" t="s">
        <v>1402</v>
      </c>
      <c r="E567" s="20"/>
      <c r="F567" s="26">
        <f>F568</f>
        <v>1666.6</v>
      </c>
      <c r="G567" s="343">
        <f t="shared" ref="G567:G568" si="279">G568</f>
        <v>0</v>
      </c>
      <c r="H567" s="6">
        <f t="shared" si="259"/>
        <v>0</v>
      </c>
    </row>
    <row r="568" spans="1:8" s="217" customFormat="1" ht="31.5" x14ac:dyDescent="0.25">
      <c r="A568" s="25" t="s">
        <v>288</v>
      </c>
      <c r="B568" s="20" t="s">
        <v>280</v>
      </c>
      <c r="C568" s="20" t="s">
        <v>134</v>
      </c>
      <c r="D568" s="20" t="s">
        <v>1402</v>
      </c>
      <c r="E568" s="20" t="s">
        <v>289</v>
      </c>
      <c r="F568" s="26">
        <f>F569</f>
        <v>1666.6</v>
      </c>
      <c r="G568" s="343">
        <f t="shared" si="279"/>
        <v>0</v>
      </c>
      <c r="H568" s="6">
        <f t="shared" si="259"/>
        <v>0</v>
      </c>
    </row>
    <row r="569" spans="1:8" s="217" customFormat="1" ht="15.75" x14ac:dyDescent="0.25">
      <c r="A569" s="25" t="s">
        <v>290</v>
      </c>
      <c r="B569" s="20" t="s">
        <v>280</v>
      </c>
      <c r="C569" s="20" t="s">
        <v>134</v>
      </c>
      <c r="D569" s="20" t="s">
        <v>1402</v>
      </c>
      <c r="E569" s="20" t="s">
        <v>291</v>
      </c>
      <c r="F569" s="26">
        <v>1666.6</v>
      </c>
      <c r="G569" s="343">
        <f>'Пр.4 ведом.20'!H613</f>
        <v>0</v>
      </c>
      <c r="H569" s="6">
        <f t="shared" si="259"/>
        <v>0</v>
      </c>
    </row>
    <row r="570" spans="1:8" ht="63" x14ac:dyDescent="0.25">
      <c r="A570" s="41" t="s">
        <v>730</v>
      </c>
      <c r="B570" s="24" t="s">
        <v>280</v>
      </c>
      <c r="C570" s="24" t="s">
        <v>134</v>
      </c>
      <c r="D570" s="24" t="s">
        <v>728</v>
      </c>
      <c r="E570" s="235"/>
      <c r="F570" s="4">
        <f>F571</f>
        <v>464.3</v>
      </c>
      <c r="G570" s="4">
        <f t="shared" ref="G570" si="280">G571</f>
        <v>247.3</v>
      </c>
      <c r="H570" s="4">
        <f t="shared" si="259"/>
        <v>53.262976523799267</v>
      </c>
    </row>
    <row r="571" spans="1:8" ht="47.25" x14ac:dyDescent="0.25">
      <c r="A571" s="41" t="s">
        <v>949</v>
      </c>
      <c r="B571" s="24" t="s">
        <v>280</v>
      </c>
      <c r="C571" s="24" t="s">
        <v>134</v>
      </c>
      <c r="D571" s="24" t="s">
        <v>947</v>
      </c>
      <c r="E571" s="235"/>
      <c r="F571" s="4">
        <f t="shared" ref="F571:G573" si="281">F572</f>
        <v>464.3</v>
      </c>
      <c r="G571" s="4">
        <f t="shared" si="281"/>
        <v>247.3</v>
      </c>
      <c r="H571" s="4">
        <f t="shared" si="259"/>
        <v>53.262976523799267</v>
      </c>
    </row>
    <row r="572" spans="1:8" ht="47.25" x14ac:dyDescent="0.25">
      <c r="A572" s="99" t="s">
        <v>803</v>
      </c>
      <c r="B572" s="20" t="s">
        <v>280</v>
      </c>
      <c r="C572" s="20" t="s">
        <v>134</v>
      </c>
      <c r="D572" s="20" t="s">
        <v>1027</v>
      </c>
      <c r="E572" s="32"/>
      <c r="F572" s="6">
        <f t="shared" si="281"/>
        <v>464.3</v>
      </c>
      <c r="G572" s="6">
        <f t="shared" si="281"/>
        <v>247.3</v>
      </c>
      <c r="H572" s="6">
        <f t="shared" si="259"/>
        <v>53.262976523799267</v>
      </c>
    </row>
    <row r="573" spans="1:8" ht="31.5" x14ac:dyDescent="0.25">
      <c r="A573" s="29" t="s">
        <v>288</v>
      </c>
      <c r="B573" s="20" t="s">
        <v>280</v>
      </c>
      <c r="C573" s="20" t="s">
        <v>134</v>
      </c>
      <c r="D573" s="20" t="s">
        <v>1027</v>
      </c>
      <c r="E573" s="32" t="s">
        <v>289</v>
      </c>
      <c r="F573" s="6">
        <f>F574</f>
        <v>464.3</v>
      </c>
      <c r="G573" s="6">
        <f t="shared" si="281"/>
        <v>247.3</v>
      </c>
      <c r="H573" s="6">
        <f t="shared" si="259"/>
        <v>53.262976523799267</v>
      </c>
    </row>
    <row r="574" spans="1:8" ht="24.75" customHeight="1" x14ac:dyDescent="0.25">
      <c r="A574" s="192" t="s">
        <v>290</v>
      </c>
      <c r="B574" s="20" t="s">
        <v>280</v>
      </c>
      <c r="C574" s="20" t="s">
        <v>134</v>
      </c>
      <c r="D574" s="20" t="s">
        <v>1027</v>
      </c>
      <c r="E574" s="32" t="s">
        <v>291</v>
      </c>
      <c r="F574" s="6">
        <f>'Пр.4 ведом.20'!G623</f>
        <v>464.3</v>
      </c>
      <c r="G574" s="6">
        <f>'Пр.4 ведом.20'!H623</f>
        <v>247.3</v>
      </c>
      <c r="H574" s="6">
        <f t="shared" si="259"/>
        <v>53.262976523799267</v>
      </c>
    </row>
    <row r="575" spans="1:8" ht="15.75" x14ac:dyDescent="0.25">
      <c r="A575" s="41" t="s">
        <v>441</v>
      </c>
      <c r="B575" s="7" t="s">
        <v>280</v>
      </c>
      <c r="C575" s="7" t="s">
        <v>229</v>
      </c>
      <c r="D575" s="7"/>
      <c r="E575" s="7"/>
      <c r="F575" s="4">
        <f>F576+F659+F664</f>
        <v>192305.78899999999</v>
      </c>
      <c r="G575" s="4">
        <f t="shared" ref="G575" si="282">G576+G659+G664</f>
        <v>87193.530000000013</v>
      </c>
      <c r="H575" s="4">
        <f t="shared" si="259"/>
        <v>45.341084349780033</v>
      </c>
    </row>
    <row r="576" spans="1:8" ht="47.25" x14ac:dyDescent="0.25">
      <c r="A576" s="23" t="s">
        <v>442</v>
      </c>
      <c r="B576" s="24" t="s">
        <v>280</v>
      </c>
      <c r="C576" s="24" t="s">
        <v>229</v>
      </c>
      <c r="D576" s="24" t="s">
        <v>422</v>
      </c>
      <c r="E576" s="24"/>
      <c r="F576" s="4">
        <f>F577+F610</f>
        <v>191432.489</v>
      </c>
      <c r="G576" s="4">
        <f t="shared" ref="G576" si="283">G577+G610</f>
        <v>86756.73000000001</v>
      </c>
      <c r="H576" s="4">
        <f t="shared" si="259"/>
        <v>45.31975238539578</v>
      </c>
    </row>
    <row r="577" spans="1:8" ht="36" customHeight="1" x14ac:dyDescent="0.25">
      <c r="A577" s="23" t="s">
        <v>423</v>
      </c>
      <c r="B577" s="24" t="s">
        <v>280</v>
      </c>
      <c r="C577" s="24" t="s">
        <v>229</v>
      </c>
      <c r="D577" s="24" t="s">
        <v>424</v>
      </c>
      <c r="E577" s="24"/>
      <c r="F577" s="4">
        <f>F578+F588</f>
        <v>180901.6</v>
      </c>
      <c r="G577" s="4">
        <f t="shared" ref="G577" si="284">G578+G588</f>
        <v>83132.66</v>
      </c>
      <c r="H577" s="4">
        <f t="shared" si="259"/>
        <v>45.954629478125128</v>
      </c>
    </row>
    <row r="578" spans="1:8" ht="31.5" x14ac:dyDescent="0.25">
      <c r="A578" s="23" t="s">
        <v>1028</v>
      </c>
      <c r="B578" s="24" t="s">
        <v>280</v>
      </c>
      <c r="C578" s="24" t="s">
        <v>229</v>
      </c>
      <c r="D578" s="24" t="s">
        <v>1006</v>
      </c>
      <c r="E578" s="24"/>
      <c r="F578" s="4">
        <f>F579+F582+F585</f>
        <v>27339</v>
      </c>
      <c r="G578" s="4">
        <f t="shared" ref="G578" si="285">G579+G582+G585</f>
        <v>6777.3</v>
      </c>
      <c r="H578" s="4">
        <f t="shared" si="259"/>
        <v>24.789860638648086</v>
      </c>
    </row>
    <row r="579" spans="1:8" ht="47.25" x14ac:dyDescent="0.25">
      <c r="A579" s="25" t="s">
        <v>1068</v>
      </c>
      <c r="B579" s="20" t="s">
        <v>280</v>
      </c>
      <c r="C579" s="20" t="s">
        <v>229</v>
      </c>
      <c r="D579" s="20" t="s">
        <v>1065</v>
      </c>
      <c r="E579" s="20"/>
      <c r="F579" s="308">
        <f t="shared" ref="F579:G579" si="286">F580</f>
        <v>9301.4000000000015</v>
      </c>
      <c r="G579" s="308">
        <f t="shared" si="286"/>
        <v>5422.8</v>
      </c>
      <c r="H579" s="6">
        <f t="shared" si="259"/>
        <v>58.300900939643483</v>
      </c>
    </row>
    <row r="580" spans="1:8" ht="39.75" customHeight="1" x14ac:dyDescent="0.25">
      <c r="A580" s="25" t="s">
        <v>288</v>
      </c>
      <c r="B580" s="20" t="s">
        <v>280</v>
      </c>
      <c r="C580" s="20" t="s">
        <v>229</v>
      </c>
      <c r="D580" s="20" t="s">
        <v>1065</v>
      </c>
      <c r="E580" s="20" t="s">
        <v>289</v>
      </c>
      <c r="F580" s="308">
        <f>'Пр.4 ведом.20'!G630</f>
        <v>9301.4000000000015</v>
      </c>
      <c r="G580" s="308">
        <f>'Пр.4 ведом.20'!H630</f>
        <v>5422.8</v>
      </c>
      <c r="H580" s="6">
        <f t="shared" si="259"/>
        <v>58.300900939643483</v>
      </c>
    </row>
    <row r="581" spans="1:8" ht="15.75" x14ac:dyDescent="0.25">
      <c r="A581" s="25" t="s">
        <v>290</v>
      </c>
      <c r="B581" s="20" t="s">
        <v>280</v>
      </c>
      <c r="C581" s="20" t="s">
        <v>229</v>
      </c>
      <c r="D581" s="20" t="s">
        <v>1065</v>
      </c>
      <c r="E581" s="20" t="s">
        <v>291</v>
      </c>
      <c r="F581" s="6">
        <f>'Пр.4 ведом.20'!G630</f>
        <v>9301.4000000000015</v>
      </c>
      <c r="G581" s="6">
        <f>'Пр.4 ведом.20'!H630</f>
        <v>5422.8</v>
      </c>
      <c r="H581" s="6">
        <f t="shared" si="259"/>
        <v>58.300900939643483</v>
      </c>
    </row>
    <row r="582" spans="1:8" ht="47.25" customHeight="1" x14ac:dyDescent="0.25">
      <c r="A582" s="25" t="s">
        <v>1069</v>
      </c>
      <c r="B582" s="20" t="s">
        <v>280</v>
      </c>
      <c r="C582" s="20" t="s">
        <v>229</v>
      </c>
      <c r="D582" s="20" t="s">
        <v>1066</v>
      </c>
      <c r="E582" s="20"/>
      <c r="F582" s="6">
        <f t="shared" ref="F582:G583" si="287">F583</f>
        <v>11361.7</v>
      </c>
      <c r="G582" s="6">
        <f t="shared" si="287"/>
        <v>30.7</v>
      </c>
      <c r="H582" s="6">
        <f t="shared" si="259"/>
        <v>0.27020604310974583</v>
      </c>
    </row>
    <row r="583" spans="1:8" ht="35.450000000000003" customHeight="1" x14ac:dyDescent="0.25">
      <c r="A583" s="25" t="s">
        <v>288</v>
      </c>
      <c r="B583" s="20" t="s">
        <v>280</v>
      </c>
      <c r="C583" s="20" t="s">
        <v>229</v>
      </c>
      <c r="D583" s="20" t="s">
        <v>1066</v>
      </c>
      <c r="E583" s="20" t="s">
        <v>289</v>
      </c>
      <c r="F583" s="6">
        <f t="shared" si="287"/>
        <v>11361.7</v>
      </c>
      <c r="G583" s="6">
        <f t="shared" si="287"/>
        <v>30.7</v>
      </c>
      <c r="H583" s="6">
        <f t="shared" si="259"/>
        <v>0.27020604310974583</v>
      </c>
    </row>
    <row r="584" spans="1:8" ht="15.75" customHeight="1" x14ac:dyDescent="0.25">
      <c r="A584" s="25" t="s">
        <v>290</v>
      </c>
      <c r="B584" s="20" t="s">
        <v>280</v>
      </c>
      <c r="C584" s="20" t="s">
        <v>229</v>
      </c>
      <c r="D584" s="20" t="s">
        <v>1066</v>
      </c>
      <c r="E584" s="20" t="s">
        <v>291</v>
      </c>
      <c r="F584" s="6">
        <f>'Пр.4 ведом.20'!G633</f>
        <v>11361.7</v>
      </c>
      <c r="G584" s="6">
        <f>'Пр.4 ведом.20'!H633</f>
        <v>30.7</v>
      </c>
      <c r="H584" s="6">
        <f t="shared" si="259"/>
        <v>0.27020604310974583</v>
      </c>
    </row>
    <row r="585" spans="1:8" ht="52.5" customHeight="1" x14ac:dyDescent="0.25">
      <c r="A585" s="25" t="s">
        <v>1070</v>
      </c>
      <c r="B585" s="20" t="s">
        <v>280</v>
      </c>
      <c r="C585" s="20" t="s">
        <v>229</v>
      </c>
      <c r="D585" s="20" t="s">
        <v>1067</v>
      </c>
      <c r="E585" s="20"/>
      <c r="F585" s="6">
        <f>F586</f>
        <v>6675.9</v>
      </c>
      <c r="G585" s="6">
        <f t="shared" ref="G585" si="288">G586</f>
        <v>1323.8</v>
      </c>
      <c r="H585" s="6">
        <f t="shared" si="259"/>
        <v>19.829536092511869</v>
      </c>
    </row>
    <row r="586" spans="1:8" ht="34.5" customHeight="1" x14ac:dyDescent="0.25">
      <c r="A586" s="25" t="s">
        <v>288</v>
      </c>
      <c r="B586" s="20" t="s">
        <v>280</v>
      </c>
      <c r="C586" s="20" t="s">
        <v>229</v>
      </c>
      <c r="D586" s="20" t="s">
        <v>1067</v>
      </c>
      <c r="E586" s="20" t="s">
        <v>289</v>
      </c>
      <c r="F586" s="6">
        <f t="shared" ref="F586:G586" si="289">F587</f>
        <v>6675.9</v>
      </c>
      <c r="G586" s="6">
        <f t="shared" si="289"/>
        <v>1323.8</v>
      </c>
      <c r="H586" s="6">
        <f t="shared" si="259"/>
        <v>19.829536092511869</v>
      </c>
    </row>
    <row r="587" spans="1:8" ht="15" customHeight="1" x14ac:dyDescent="0.25">
      <c r="A587" s="25" t="s">
        <v>290</v>
      </c>
      <c r="B587" s="20" t="s">
        <v>280</v>
      </c>
      <c r="C587" s="20" t="s">
        <v>229</v>
      </c>
      <c r="D587" s="20" t="s">
        <v>1067</v>
      </c>
      <c r="E587" s="20" t="s">
        <v>291</v>
      </c>
      <c r="F587" s="6">
        <f>'Пр.4 ведом.20'!G636</f>
        <v>6675.9</v>
      </c>
      <c r="G587" s="6">
        <f>'Пр.4 ведом.20'!H636</f>
        <v>1323.8</v>
      </c>
      <c r="H587" s="6">
        <f t="shared" ref="H587:H650" si="290">G587/F587*100</f>
        <v>19.829536092511869</v>
      </c>
    </row>
    <row r="588" spans="1:8" ht="47.25" customHeight="1" x14ac:dyDescent="0.25">
      <c r="A588" s="23" t="s">
        <v>971</v>
      </c>
      <c r="B588" s="24" t="s">
        <v>280</v>
      </c>
      <c r="C588" s="24" t="s">
        <v>229</v>
      </c>
      <c r="D588" s="24" t="s">
        <v>1021</v>
      </c>
      <c r="E588" s="24"/>
      <c r="F588" s="4">
        <f>F595+F598+F601+F604+F607+F592+F589</f>
        <v>153562.6</v>
      </c>
      <c r="G588" s="4">
        <f t="shared" ref="G588" si="291">G595+G598+G601+G604+G607+G592+G589</f>
        <v>76355.360000000001</v>
      </c>
      <c r="H588" s="4">
        <f t="shared" si="290"/>
        <v>49.722627775252562</v>
      </c>
    </row>
    <row r="589" spans="1:8" s="331" customFormat="1" ht="47.25" customHeight="1" x14ac:dyDescent="0.25">
      <c r="A589" s="342" t="s">
        <v>1527</v>
      </c>
      <c r="B589" s="338" t="s">
        <v>280</v>
      </c>
      <c r="C589" s="338" t="s">
        <v>229</v>
      </c>
      <c r="D589" s="338" t="s">
        <v>1528</v>
      </c>
      <c r="E589" s="338"/>
      <c r="F589" s="6">
        <f>F590</f>
        <v>1125.9000000000001</v>
      </c>
      <c r="G589" s="6">
        <f t="shared" ref="G589:G590" si="292">G590</f>
        <v>0</v>
      </c>
      <c r="H589" s="6">
        <f t="shared" si="290"/>
        <v>0</v>
      </c>
    </row>
    <row r="590" spans="1:8" s="331" customFormat="1" ht="31.5" x14ac:dyDescent="0.25">
      <c r="A590" s="342" t="s">
        <v>288</v>
      </c>
      <c r="B590" s="338" t="s">
        <v>280</v>
      </c>
      <c r="C590" s="338" t="s">
        <v>229</v>
      </c>
      <c r="D590" s="338" t="s">
        <v>1528</v>
      </c>
      <c r="E590" s="338" t="s">
        <v>289</v>
      </c>
      <c r="F590" s="6">
        <f>F591</f>
        <v>1125.9000000000001</v>
      </c>
      <c r="G590" s="6">
        <f t="shared" si="292"/>
        <v>0</v>
      </c>
      <c r="H590" s="6">
        <f t="shared" si="290"/>
        <v>0</v>
      </c>
    </row>
    <row r="591" spans="1:8" s="331" customFormat="1" ht="15.75" x14ac:dyDescent="0.25">
      <c r="A591" s="342" t="s">
        <v>290</v>
      </c>
      <c r="B591" s="338" t="s">
        <v>280</v>
      </c>
      <c r="C591" s="338" t="s">
        <v>229</v>
      </c>
      <c r="D591" s="338" t="s">
        <v>1528</v>
      </c>
      <c r="E591" s="338" t="s">
        <v>291</v>
      </c>
      <c r="F591" s="6">
        <f>'Пр.4 ведом.20'!G640</f>
        <v>1125.9000000000001</v>
      </c>
      <c r="G591" s="6">
        <f>'Пр.4 ведом.20'!H640</f>
        <v>0</v>
      </c>
      <c r="H591" s="6">
        <f t="shared" si="290"/>
        <v>0</v>
      </c>
    </row>
    <row r="592" spans="1:8" s="331" customFormat="1" ht="94.5" x14ac:dyDescent="0.25">
      <c r="A592" s="31" t="s">
        <v>309</v>
      </c>
      <c r="B592" s="338" t="s">
        <v>280</v>
      </c>
      <c r="C592" s="338" t="s">
        <v>229</v>
      </c>
      <c r="D592" s="338" t="s">
        <v>1519</v>
      </c>
      <c r="E592" s="338"/>
      <c r="F592" s="6">
        <f>F593</f>
        <v>3821</v>
      </c>
      <c r="G592" s="6">
        <f t="shared" ref="G592:G593" si="293">G593</f>
        <v>740.7</v>
      </c>
      <c r="H592" s="6">
        <f t="shared" si="290"/>
        <v>19.384977754514527</v>
      </c>
    </row>
    <row r="593" spans="1:8" s="331" customFormat="1" ht="31.5" x14ac:dyDescent="0.25">
      <c r="A593" s="342" t="s">
        <v>288</v>
      </c>
      <c r="B593" s="338" t="s">
        <v>280</v>
      </c>
      <c r="C593" s="338" t="s">
        <v>229</v>
      </c>
      <c r="D593" s="338" t="s">
        <v>1519</v>
      </c>
      <c r="E593" s="338" t="s">
        <v>289</v>
      </c>
      <c r="F593" s="6">
        <f>F594</f>
        <v>3821</v>
      </c>
      <c r="G593" s="6">
        <f t="shared" si="293"/>
        <v>740.7</v>
      </c>
      <c r="H593" s="6">
        <f t="shared" si="290"/>
        <v>19.384977754514527</v>
      </c>
    </row>
    <row r="594" spans="1:8" s="331" customFormat="1" ht="15.75" x14ac:dyDescent="0.25">
      <c r="A594" s="342" t="s">
        <v>290</v>
      </c>
      <c r="B594" s="338" t="s">
        <v>280</v>
      </c>
      <c r="C594" s="338" t="s">
        <v>229</v>
      </c>
      <c r="D594" s="338" t="s">
        <v>1519</v>
      </c>
      <c r="E594" s="338" t="s">
        <v>291</v>
      </c>
      <c r="F594" s="6">
        <f>'Пр.4 ведом.20'!G643</f>
        <v>3821</v>
      </c>
      <c r="G594" s="6">
        <f>'Пр.4 ведом.20'!H643</f>
        <v>740.7</v>
      </c>
      <c r="H594" s="6">
        <f t="shared" si="290"/>
        <v>19.384977754514527</v>
      </c>
    </row>
    <row r="595" spans="1:8" ht="90" customHeight="1" x14ac:dyDescent="0.25">
      <c r="A595" s="31" t="s">
        <v>1457</v>
      </c>
      <c r="B595" s="20" t="s">
        <v>280</v>
      </c>
      <c r="C595" s="20" t="s">
        <v>229</v>
      </c>
      <c r="D595" s="20" t="s">
        <v>1049</v>
      </c>
      <c r="E595" s="20"/>
      <c r="F595" s="6">
        <f>F596</f>
        <v>143160</v>
      </c>
      <c r="G595" s="6">
        <f t="shared" ref="G595" si="294">G596</f>
        <v>72335.460000000006</v>
      </c>
      <c r="H595" s="6">
        <f t="shared" si="290"/>
        <v>50.527703269069576</v>
      </c>
    </row>
    <row r="596" spans="1:8" ht="35.450000000000003" customHeight="1" x14ac:dyDescent="0.25">
      <c r="A596" s="25" t="s">
        <v>288</v>
      </c>
      <c r="B596" s="20" t="s">
        <v>280</v>
      </c>
      <c r="C596" s="20" t="s">
        <v>229</v>
      </c>
      <c r="D596" s="20" t="s">
        <v>1049</v>
      </c>
      <c r="E596" s="20" t="s">
        <v>289</v>
      </c>
      <c r="F596" s="6">
        <f t="shared" ref="F596:G596" si="295">F597</f>
        <v>143160</v>
      </c>
      <c r="G596" s="6">
        <f t="shared" si="295"/>
        <v>72335.460000000006</v>
      </c>
      <c r="H596" s="6">
        <f t="shared" si="290"/>
        <v>50.527703269069576</v>
      </c>
    </row>
    <row r="597" spans="1:8" ht="15.75" customHeight="1" x14ac:dyDescent="0.25">
      <c r="A597" s="25" t="s">
        <v>290</v>
      </c>
      <c r="B597" s="20" t="s">
        <v>280</v>
      </c>
      <c r="C597" s="20" t="s">
        <v>229</v>
      </c>
      <c r="D597" s="20" t="s">
        <v>1049</v>
      </c>
      <c r="E597" s="20" t="s">
        <v>291</v>
      </c>
      <c r="F597" s="6">
        <f>'Пр.4 ведом.20'!G646</f>
        <v>143160</v>
      </c>
      <c r="G597" s="6">
        <f>'Пр.4 ведом.20'!H646</f>
        <v>72335.460000000006</v>
      </c>
      <c r="H597" s="6">
        <f t="shared" si="290"/>
        <v>50.527703269069576</v>
      </c>
    </row>
    <row r="598" spans="1:8" ht="72" customHeight="1" x14ac:dyDescent="0.25">
      <c r="A598" s="31" t="s">
        <v>305</v>
      </c>
      <c r="B598" s="20" t="s">
        <v>280</v>
      </c>
      <c r="C598" s="20" t="s">
        <v>229</v>
      </c>
      <c r="D598" s="20" t="s">
        <v>1020</v>
      </c>
      <c r="E598" s="20"/>
      <c r="F598" s="6">
        <f>F599</f>
        <v>1245.5999999999999</v>
      </c>
      <c r="G598" s="6">
        <f t="shared" ref="G598" si="296">G599</f>
        <v>523.6</v>
      </c>
      <c r="H598" s="6">
        <f t="shared" si="290"/>
        <v>42.035966602440595</v>
      </c>
    </row>
    <row r="599" spans="1:8" ht="31.7" customHeight="1" x14ac:dyDescent="0.25">
      <c r="A599" s="25" t="s">
        <v>288</v>
      </c>
      <c r="B599" s="20" t="s">
        <v>280</v>
      </c>
      <c r="C599" s="20" t="s">
        <v>229</v>
      </c>
      <c r="D599" s="20" t="s">
        <v>1020</v>
      </c>
      <c r="E599" s="20" t="s">
        <v>289</v>
      </c>
      <c r="F599" s="6">
        <f t="shared" ref="F599:G599" si="297">F600</f>
        <v>1245.5999999999999</v>
      </c>
      <c r="G599" s="6">
        <f t="shared" si="297"/>
        <v>523.6</v>
      </c>
      <c r="H599" s="6">
        <f t="shared" si="290"/>
        <v>42.035966602440595</v>
      </c>
    </row>
    <row r="600" spans="1:8" ht="18" customHeight="1" x14ac:dyDescent="0.25">
      <c r="A600" s="25" t="s">
        <v>290</v>
      </c>
      <c r="B600" s="20" t="s">
        <v>280</v>
      </c>
      <c r="C600" s="20" t="s">
        <v>229</v>
      </c>
      <c r="D600" s="20" t="s">
        <v>1020</v>
      </c>
      <c r="E600" s="20" t="s">
        <v>291</v>
      </c>
      <c r="F600" s="6">
        <f>'Пр.4 ведом.20'!G649</f>
        <v>1245.5999999999999</v>
      </c>
      <c r="G600" s="6">
        <f>'Пр.4 ведом.20'!H649</f>
        <v>523.6</v>
      </c>
      <c r="H600" s="6">
        <f t="shared" si="290"/>
        <v>42.035966602440595</v>
      </c>
    </row>
    <row r="601" spans="1:8" ht="67.7" customHeight="1" x14ac:dyDescent="0.25">
      <c r="A601" s="31" t="s">
        <v>307</v>
      </c>
      <c r="B601" s="20" t="s">
        <v>280</v>
      </c>
      <c r="C601" s="20" t="s">
        <v>229</v>
      </c>
      <c r="D601" s="20" t="s">
        <v>1023</v>
      </c>
      <c r="E601" s="20"/>
      <c r="F601" s="6">
        <f>F602</f>
        <v>2266.6999999999998</v>
      </c>
      <c r="G601" s="6">
        <f t="shared" ref="G601" si="298">G602</f>
        <v>1218.9000000000001</v>
      </c>
      <c r="H601" s="6">
        <f t="shared" si="290"/>
        <v>53.774209202805842</v>
      </c>
    </row>
    <row r="602" spans="1:8" ht="34.5" customHeight="1" x14ac:dyDescent="0.25">
      <c r="A602" s="25" t="s">
        <v>288</v>
      </c>
      <c r="B602" s="20" t="s">
        <v>280</v>
      </c>
      <c r="C602" s="20" t="s">
        <v>229</v>
      </c>
      <c r="D602" s="20" t="s">
        <v>1023</v>
      </c>
      <c r="E602" s="20" t="s">
        <v>289</v>
      </c>
      <c r="F602" s="6">
        <f t="shared" ref="F602:G602" si="299">F603</f>
        <v>2266.6999999999998</v>
      </c>
      <c r="G602" s="6">
        <f t="shared" si="299"/>
        <v>1218.9000000000001</v>
      </c>
      <c r="H602" s="6">
        <f t="shared" si="290"/>
        <v>53.774209202805842</v>
      </c>
    </row>
    <row r="603" spans="1:8" ht="15.75" x14ac:dyDescent="0.25">
      <c r="A603" s="25" t="s">
        <v>290</v>
      </c>
      <c r="B603" s="20" t="s">
        <v>280</v>
      </c>
      <c r="C603" s="20" t="s">
        <v>229</v>
      </c>
      <c r="D603" s="20" t="s">
        <v>1023</v>
      </c>
      <c r="E603" s="20" t="s">
        <v>291</v>
      </c>
      <c r="F603" s="6">
        <f>'Пр.4 ведом.20'!G652</f>
        <v>2266.6999999999998</v>
      </c>
      <c r="G603" s="6">
        <f>'Пр.4 ведом.20'!H652</f>
        <v>1218.9000000000001</v>
      </c>
      <c r="H603" s="6">
        <f t="shared" si="290"/>
        <v>53.774209202805842</v>
      </c>
    </row>
    <row r="604" spans="1:8" ht="47.25" x14ac:dyDescent="0.25">
      <c r="A604" s="31" t="s">
        <v>478</v>
      </c>
      <c r="B604" s="20" t="s">
        <v>280</v>
      </c>
      <c r="C604" s="20" t="s">
        <v>229</v>
      </c>
      <c r="D604" s="20" t="s">
        <v>1050</v>
      </c>
      <c r="E604" s="20"/>
      <c r="F604" s="6">
        <f>F605</f>
        <v>923.4</v>
      </c>
      <c r="G604" s="6">
        <f t="shared" ref="G604" si="300">G605</f>
        <v>516.70000000000005</v>
      </c>
      <c r="H604" s="6">
        <f t="shared" si="290"/>
        <v>55.956248646307131</v>
      </c>
    </row>
    <row r="605" spans="1:8" ht="36" customHeight="1" x14ac:dyDescent="0.25">
      <c r="A605" s="25" t="s">
        <v>288</v>
      </c>
      <c r="B605" s="20" t="s">
        <v>280</v>
      </c>
      <c r="C605" s="20" t="s">
        <v>229</v>
      </c>
      <c r="D605" s="20" t="s">
        <v>1050</v>
      </c>
      <c r="E605" s="20" t="s">
        <v>289</v>
      </c>
      <c r="F605" s="6">
        <f t="shared" ref="F605:G605" si="301">F606</f>
        <v>923.4</v>
      </c>
      <c r="G605" s="6">
        <f t="shared" si="301"/>
        <v>516.70000000000005</v>
      </c>
      <c r="H605" s="6">
        <f t="shared" si="290"/>
        <v>55.956248646307131</v>
      </c>
    </row>
    <row r="606" spans="1:8" ht="15.75" x14ac:dyDescent="0.25">
      <c r="A606" s="25" t="s">
        <v>290</v>
      </c>
      <c r="B606" s="20" t="s">
        <v>280</v>
      </c>
      <c r="C606" s="20" t="s">
        <v>229</v>
      </c>
      <c r="D606" s="20" t="s">
        <v>1050</v>
      </c>
      <c r="E606" s="20" t="s">
        <v>291</v>
      </c>
      <c r="F606" s="6">
        <f>'Пр.4 ведом.20'!G655</f>
        <v>923.4</v>
      </c>
      <c r="G606" s="6">
        <f>'Пр.4 ведом.20'!H655</f>
        <v>516.70000000000005</v>
      </c>
      <c r="H606" s="6">
        <f t="shared" si="290"/>
        <v>55.956248646307131</v>
      </c>
    </row>
    <row r="607" spans="1:8" ht="94.5" x14ac:dyDescent="0.25">
      <c r="A607" s="31" t="s">
        <v>480</v>
      </c>
      <c r="B607" s="20" t="s">
        <v>280</v>
      </c>
      <c r="C607" s="20" t="s">
        <v>229</v>
      </c>
      <c r="D607" s="20" t="s">
        <v>1024</v>
      </c>
      <c r="E607" s="20"/>
      <c r="F607" s="6">
        <f>F608</f>
        <v>1019.9999999999991</v>
      </c>
      <c r="G607" s="6">
        <f t="shared" ref="G607:G608" si="302">G608</f>
        <v>1020</v>
      </c>
      <c r="H607" s="6">
        <f t="shared" si="290"/>
        <v>100.00000000000009</v>
      </c>
    </row>
    <row r="608" spans="1:8" ht="37.5" customHeight="1" x14ac:dyDescent="0.25">
      <c r="A608" s="25" t="s">
        <v>288</v>
      </c>
      <c r="B608" s="20" t="s">
        <v>280</v>
      </c>
      <c r="C608" s="20" t="s">
        <v>229</v>
      </c>
      <c r="D608" s="20" t="s">
        <v>1024</v>
      </c>
      <c r="E608" s="20" t="s">
        <v>289</v>
      </c>
      <c r="F608" s="6">
        <f>F609</f>
        <v>1019.9999999999991</v>
      </c>
      <c r="G608" s="6">
        <f t="shared" si="302"/>
        <v>1020</v>
      </c>
      <c r="H608" s="6">
        <f t="shared" si="290"/>
        <v>100.00000000000009</v>
      </c>
    </row>
    <row r="609" spans="1:8" ht="15.75" x14ac:dyDescent="0.25">
      <c r="A609" s="25" t="s">
        <v>290</v>
      </c>
      <c r="B609" s="20" t="s">
        <v>280</v>
      </c>
      <c r="C609" s="20" t="s">
        <v>229</v>
      </c>
      <c r="D609" s="20" t="s">
        <v>1024</v>
      </c>
      <c r="E609" s="20" t="s">
        <v>291</v>
      </c>
      <c r="F609" s="6">
        <f>'Пр.4 ведом.20'!G658</f>
        <v>1019.9999999999991</v>
      </c>
      <c r="G609" s="6">
        <f>'Пр.4 ведом.20'!H658</f>
        <v>1020</v>
      </c>
      <c r="H609" s="6">
        <f t="shared" si="290"/>
        <v>100.00000000000009</v>
      </c>
    </row>
    <row r="610" spans="1:8" ht="31.5" x14ac:dyDescent="0.25">
      <c r="A610" s="272" t="s">
        <v>446</v>
      </c>
      <c r="B610" s="24" t="s">
        <v>280</v>
      </c>
      <c r="C610" s="24" t="s">
        <v>229</v>
      </c>
      <c r="D610" s="24" t="s">
        <v>447</v>
      </c>
      <c r="E610" s="24"/>
      <c r="F610" s="4">
        <f>F611+F624+F631+F638+F645+F652</f>
        <v>10530.888999999999</v>
      </c>
      <c r="G610" s="4">
        <f t="shared" ref="G610" si="303">G611+G624+G631+G638+G645+G652</f>
        <v>3624.0699999999997</v>
      </c>
      <c r="H610" s="4">
        <f t="shared" si="290"/>
        <v>34.413713789975375</v>
      </c>
    </row>
    <row r="611" spans="1:8" ht="31.5" x14ac:dyDescent="0.25">
      <c r="A611" s="23" t="s">
        <v>1268</v>
      </c>
      <c r="B611" s="24" t="s">
        <v>280</v>
      </c>
      <c r="C611" s="24" t="s">
        <v>229</v>
      </c>
      <c r="D611" s="24" t="s">
        <v>1030</v>
      </c>
      <c r="E611" s="24"/>
      <c r="F611" s="4">
        <f>F612+F615+F618+F621</f>
        <v>749.33</v>
      </c>
      <c r="G611" s="4">
        <f t="shared" ref="G611" si="304">G612+G615+G618+G621</f>
        <v>585.79999999999995</v>
      </c>
      <c r="H611" s="4">
        <f t="shared" si="290"/>
        <v>78.176504343880524</v>
      </c>
    </row>
    <row r="612" spans="1:8" ht="36" hidden="1" customHeight="1" x14ac:dyDescent="0.25">
      <c r="A612" s="25" t="s">
        <v>456</v>
      </c>
      <c r="B612" s="20" t="s">
        <v>280</v>
      </c>
      <c r="C612" s="20" t="s">
        <v>229</v>
      </c>
      <c r="D612" s="20" t="s">
        <v>1034</v>
      </c>
      <c r="E612" s="20"/>
      <c r="F612" s="6">
        <f t="shared" ref="F612:G613" si="305">F613</f>
        <v>0</v>
      </c>
      <c r="G612" s="6">
        <f t="shared" si="305"/>
        <v>0</v>
      </c>
      <c r="H612" s="6" t="e">
        <f t="shared" si="290"/>
        <v>#DIV/0!</v>
      </c>
    </row>
    <row r="613" spans="1:8" ht="35.450000000000003" hidden="1" customHeight="1" x14ac:dyDescent="0.25">
      <c r="A613" s="25" t="s">
        <v>288</v>
      </c>
      <c r="B613" s="20" t="s">
        <v>280</v>
      </c>
      <c r="C613" s="20" t="s">
        <v>229</v>
      </c>
      <c r="D613" s="20" t="s">
        <v>1034</v>
      </c>
      <c r="E613" s="20" t="s">
        <v>289</v>
      </c>
      <c r="F613" s="6">
        <f>F614</f>
        <v>0</v>
      </c>
      <c r="G613" s="6">
        <f t="shared" si="305"/>
        <v>0</v>
      </c>
      <c r="H613" s="6" t="e">
        <f t="shared" si="290"/>
        <v>#DIV/0!</v>
      </c>
    </row>
    <row r="614" spans="1:8" ht="15.75" hidden="1" x14ac:dyDescent="0.25">
      <c r="A614" s="25" t="s">
        <v>290</v>
      </c>
      <c r="B614" s="20" t="s">
        <v>280</v>
      </c>
      <c r="C614" s="20" t="s">
        <v>229</v>
      </c>
      <c r="D614" s="20" t="s">
        <v>1034</v>
      </c>
      <c r="E614" s="20" t="s">
        <v>291</v>
      </c>
      <c r="F614" s="6">
        <f>'Пр.4 ведом.20'!G663</f>
        <v>0</v>
      </c>
      <c r="G614" s="6">
        <f>'Пр.4 ведом.20'!H663</f>
        <v>0</v>
      </c>
      <c r="H614" s="6" t="e">
        <f t="shared" si="290"/>
        <v>#DIV/0!</v>
      </c>
    </row>
    <row r="615" spans="1:8" ht="31.5" hidden="1" x14ac:dyDescent="0.25">
      <c r="A615" s="25" t="s">
        <v>294</v>
      </c>
      <c r="B615" s="20" t="s">
        <v>280</v>
      </c>
      <c r="C615" s="20" t="s">
        <v>229</v>
      </c>
      <c r="D615" s="20" t="s">
        <v>1035</v>
      </c>
      <c r="E615" s="20"/>
      <c r="F615" s="6">
        <f t="shared" ref="F615:G616" si="306">F616</f>
        <v>0</v>
      </c>
      <c r="G615" s="6">
        <f t="shared" si="306"/>
        <v>0</v>
      </c>
      <c r="H615" s="6" t="e">
        <f t="shared" si="290"/>
        <v>#DIV/0!</v>
      </c>
    </row>
    <row r="616" spans="1:8" ht="37.5" hidden="1" customHeight="1" x14ac:dyDescent="0.25">
      <c r="A616" s="25" t="s">
        <v>288</v>
      </c>
      <c r="B616" s="20" t="s">
        <v>280</v>
      </c>
      <c r="C616" s="20" t="s">
        <v>229</v>
      </c>
      <c r="D616" s="20" t="s">
        <v>1035</v>
      </c>
      <c r="E616" s="20" t="s">
        <v>289</v>
      </c>
      <c r="F616" s="6">
        <f>F617</f>
        <v>0</v>
      </c>
      <c r="G616" s="6">
        <f t="shared" si="306"/>
        <v>0</v>
      </c>
      <c r="H616" s="6" t="e">
        <f t="shared" si="290"/>
        <v>#DIV/0!</v>
      </c>
    </row>
    <row r="617" spans="1:8" ht="15.75" hidden="1" x14ac:dyDescent="0.25">
      <c r="A617" s="25" t="s">
        <v>290</v>
      </c>
      <c r="B617" s="20" t="s">
        <v>280</v>
      </c>
      <c r="C617" s="20" t="s">
        <v>229</v>
      </c>
      <c r="D617" s="20" t="s">
        <v>1035</v>
      </c>
      <c r="E617" s="20" t="s">
        <v>291</v>
      </c>
      <c r="F617" s="6">
        <f>'Пр.4 ведом.20'!G666</f>
        <v>0</v>
      </c>
      <c r="G617" s="6">
        <f>'Пр.4 ведом.20'!H666</f>
        <v>0</v>
      </c>
      <c r="H617" s="6" t="e">
        <f t="shared" si="290"/>
        <v>#DIV/0!</v>
      </c>
    </row>
    <row r="618" spans="1:8" ht="31.5" x14ac:dyDescent="0.25">
      <c r="A618" s="25" t="s">
        <v>296</v>
      </c>
      <c r="B618" s="20" t="s">
        <v>280</v>
      </c>
      <c r="C618" s="20" t="s">
        <v>229</v>
      </c>
      <c r="D618" s="20" t="s">
        <v>1036</v>
      </c>
      <c r="E618" s="20"/>
      <c r="F618" s="6">
        <f t="shared" ref="F618:G619" si="307">F619</f>
        <v>525.33000000000004</v>
      </c>
      <c r="G618" s="6">
        <f t="shared" si="307"/>
        <v>464</v>
      </c>
      <c r="H618" s="6">
        <f t="shared" si="290"/>
        <v>88.325433537014817</v>
      </c>
    </row>
    <row r="619" spans="1:8" ht="31.7" customHeight="1" x14ac:dyDescent="0.25">
      <c r="A619" s="25" t="s">
        <v>288</v>
      </c>
      <c r="B619" s="20" t="s">
        <v>280</v>
      </c>
      <c r="C619" s="20" t="s">
        <v>229</v>
      </c>
      <c r="D619" s="20" t="s">
        <v>1036</v>
      </c>
      <c r="E619" s="20" t="s">
        <v>289</v>
      </c>
      <c r="F619" s="6">
        <f>F620</f>
        <v>525.33000000000004</v>
      </c>
      <c r="G619" s="6">
        <f t="shared" si="307"/>
        <v>464</v>
      </c>
      <c r="H619" s="6">
        <f t="shared" si="290"/>
        <v>88.325433537014817</v>
      </c>
    </row>
    <row r="620" spans="1:8" ht="15.75" x14ac:dyDescent="0.25">
      <c r="A620" s="25" t="s">
        <v>290</v>
      </c>
      <c r="B620" s="20" t="s">
        <v>280</v>
      </c>
      <c r="C620" s="20" t="s">
        <v>229</v>
      </c>
      <c r="D620" s="20" t="s">
        <v>1036</v>
      </c>
      <c r="E620" s="20" t="s">
        <v>291</v>
      </c>
      <c r="F620" s="6">
        <f>'Пр.4 ведом.20'!G669</f>
        <v>525.33000000000004</v>
      </c>
      <c r="G620" s="6">
        <f>'Пр.4 ведом.20'!H669</f>
        <v>464</v>
      </c>
      <c r="H620" s="6">
        <f t="shared" si="290"/>
        <v>88.325433537014817</v>
      </c>
    </row>
    <row r="621" spans="1:8" ht="31.5" x14ac:dyDescent="0.25">
      <c r="A621" s="25" t="s">
        <v>298</v>
      </c>
      <c r="B621" s="20" t="s">
        <v>280</v>
      </c>
      <c r="C621" s="20" t="s">
        <v>229</v>
      </c>
      <c r="D621" s="20" t="s">
        <v>1037</v>
      </c>
      <c r="E621" s="20"/>
      <c r="F621" s="6">
        <f t="shared" ref="F621:G622" si="308">F622</f>
        <v>224</v>
      </c>
      <c r="G621" s="6">
        <f t="shared" si="308"/>
        <v>121.8</v>
      </c>
      <c r="H621" s="6">
        <f t="shared" si="290"/>
        <v>54.374999999999993</v>
      </c>
    </row>
    <row r="622" spans="1:8" ht="36" customHeight="1" x14ac:dyDescent="0.25">
      <c r="A622" s="25" t="s">
        <v>288</v>
      </c>
      <c r="B622" s="20" t="s">
        <v>280</v>
      </c>
      <c r="C622" s="20" t="s">
        <v>229</v>
      </c>
      <c r="D622" s="20" t="s">
        <v>1037</v>
      </c>
      <c r="E622" s="20" t="s">
        <v>289</v>
      </c>
      <c r="F622" s="6">
        <f>F623</f>
        <v>224</v>
      </c>
      <c r="G622" s="6">
        <f t="shared" si="308"/>
        <v>121.8</v>
      </c>
      <c r="H622" s="6">
        <f t="shared" si="290"/>
        <v>54.374999999999993</v>
      </c>
    </row>
    <row r="623" spans="1:8" ht="15" customHeight="1" x14ac:dyDescent="0.25">
      <c r="A623" s="25" t="s">
        <v>290</v>
      </c>
      <c r="B623" s="20" t="s">
        <v>280</v>
      </c>
      <c r="C623" s="20" t="s">
        <v>229</v>
      </c>
      <c r="D623" s="20" t="s">
        <v>1037</v>
      </c>
      <c r="E623" s="20" t="s">
        <v>291</v>
      </c>
      <c r="F623" s="6">
        <f>'Пр.4 ведом.20'!G672</f>
        <v>224</v>
      </c>
      <c r="G623" s="6">
        <f>'Пр.4 ведом.20'!H672</f>
        <v>121.8</v>
      </c>
      <c r="H623" s="6">
        <f t="shared" si="290"/>
        <v>54.374999999999993</v>
      </c>
    </row>
    <row r="624" spans="1:8" ht="35.450000000000003" customHeight="1" x14ac:dyDescent="0.25">
      <c r="A624" s="23" t="s">
        <v>1031</v>
      </c>
      <c r="B624" s="24" t="s">
        <v>280</v>
      </c>
      <c r="C624" s="24" t="s">
        <v>229</v>
      </c>
      <c r="D624" s="24" t="s">
        <v>1032</v>
      </c>
      <c r="E624" s="24"/>
      <c r="F624" s="4">
        <f>F625+F628</f>
        <v>3865.2</v>
      </c>
      <c r="G624" s="4">
        <f t="shared" ref="G624" si="309">G625+G628</f>
        <v>129.88</v>
      </c>
      <c r="H624" s="4">
        <f t="shared" si="290"/>
        <v>3.3602400910690262</v>
      </c>
    </row>
    <row r="625" spans="1:8" s="217" customFormat="1" ht="49.7" customHeight="1" x14ac:dyDescent="0.25">
      <c r="A625" s="29" t="s">
        <v>619</v>
      </c>
      <c r="B625" s="20" t="s">
        <v>280</v>
      </c>
      <c r="C625" s="20" t="s">
        <v>229</v>
      </c>
      <c r="D625" s="20" t="s">
        <v>1038</v>
      </c>
      <c r="E625" s="20"/>
      <c r="F625" s="6">
        <f>F626</f>
        <v>2200</v>
      </c>
      <c r="G625" s="6">
        <f t="shared" ref="G625:G626" si="310">G626</f>
        <v>92.68</v>
      </c>
      <c r="H625" s="6">
        <f t="shared" si="290"/>
        <v>4.2127272727272729</v>
      </c>
    </row>
    <row r="626" spans="1:8" s="217" customFormat="1" ht="38.25" customHeight="1" x14ac:dyDescent="0.25">
      <c r="A626" s="25" t="s">
        <v>288</v>
      </c>
      <c r="B626" s="20" t="s">
        <v>280</v>
      </c>
      <c r="C626" s="20" t="s">
        <v>229</v>
      </c>
      <c r="D626" s="20" t="s">
        <v>1038</v>
      </c>
      <c r="E626" s="20" t="s">
        <v>289</v>
      </c>
      <c r="F626" s="6">
        <f>F627</f>
        <v>2200</v>
      </c>
      <c r="G626" s="6">
        <f t="shared" si="310"/>
        <v>92.68</v>
      </c>
      <c r="H626" s="6">
        <f t="shared" si="290"/>
        <v>4.2127272727272729</v>
      </c>
    </row>
    <row r="627" spans="1:8" s="217" customFormat="1" ht="14.25" customHeight="1" x14ac:dyDescent="0.25">
      <c r="A627" s="25" t="s">
        <v>290</v>
      </c>
      <c r="B627" s="20" t="s">
        <v>280</v>
      </c>
      <c r="C627" s="20" t="s">
        <v>229</v>
      </c>
      <c r="D627" s="20" t="s">
        <v>1038</v>
      </c>
      <c r="E627" s="20" t="s">
        <v>291</v>
      </c>
      <c r="F627" s="6">
        <f>'Пр.4 ведом.20'!G676</f>
        <v>2200</v>
      </c>
      <c r="G627" s="6">
        <f>'Пр.4 ведом.20'!H676</f>
        <v>92.68</v>
      </c>
      <c r="H627" s="6">
        <f t="shared" si="290"/>
        <v>4.2127272727272729</v>
      </c>
    </row>
    <row r="628" spans="1:8" ht="30.75" customHeight="1" x14ac:dyDescent="0.25">
      <c r="A628" s="25" t="s">
        <v>472</v>
      </c>
      <c r="B628" s="20" t="s">
        <v>280</v>
      </c>
      <c r="C628" s="20" t="s">
        <v>229</v>
      </c>
      <c r="D628" s="20" t="s">
        <v>1039</v>
      </c>
      <c r="E628" s="20"/>
      <c r="F628" s="6">
        <f>F629</f>
        <v>1665.2</v>
      </c>
      <c r="G628" s="6">
        <f t="shared" ref="G628:G629" si="311">G629</f>
        <v>37.200000000000003</v>
      </c>
      <c r="H628" s="6">
        <f t="shared" si="290"/>
        <v>2.2339658899831853</v>
      </c>
    </row>
    <row r="629" spans="1:8" ht="35.450000000000003" customHeight="1" x14ac:dyDescent="0.25">
      <c r="A629" s="25" t="s">
        <v>288</v>
      </c>
      <c r="B629" s="20" t="s">
        <v>280</v>
      </c>
      <c r="C629" s="20" t="s">
        <v>229</v>
      </c>
      <c r="D629" s="20" t="s">
        <v>1039</v>
      </c>
      <c r="E629" s="20" t="s">
        <v>289</v>
      </c>
      <c r="F629" s="6">
        <f>F630</f>
        <v>1665.2</v>
      </c>
      <c r="G629" s="6">
        <f t="shared" si="311"/>
        <v>37.200000000000003</v>
      </c>
      <c r="H629" s="6">
        <f t="shared" si="290"/>
        <v>2.2339658899831853</v>
      </c>
    </row>
    <row r="630" spans="1:8" ht="18" customHeight="1" x14ac:dyDescent="0.25">
      <c r="A630" s="25" t="s">
        <v>290</v>
      </c>
      <c r="B630" s="20" t="s">
        <v>280</v>
      </c>
      <c r="C630" s="20" t="s">
        <v>229</v>
      </c>
      <c r="D630" s="20" t="s">
        <v>1039</v>
      </c>
      <c r="E630" s="20" t="s">
        <v>291</v>
      </c>
      <c r="F630" s="6">
        <f>'Пр.4 ведом.20'!G679</f>
        <v>1665.2</v>
      </c>
      <c r="G630" s="6">
        <f>'Пр.4 ведом.20'!H679</f>
        <v>37.200000000000003</v>
      </c>
      <c r="H630" s="6">
        <f t="shared" si="290"/>
        <v>2.2339658899831853</v>
      </c>
    </row>
    <row r="631" spans="1:8" ht="32.25" customHeight="1" x14ac:dyDescent="0.25">
      <c r="A631" s="23" t="s">
        <v>1033</v>
      </c>
      <c r="B631" s="24" t="s">
        <v>280</v>
      </c>
      <c r="C631" s="24" t="s">
        <v>229</v>
      </c>
      <c r="D631" s="24" t="s">
        <v>1040</v>
      </c>
      <c r="E631" s="24"/>
      <c r="F631" s="4">
        <f>F632+F635</f>
        <v>1364.7</v>
      </c>
      <c r="G631" s="4">
        <f t="shared" ref="G631" si="312">G632+G635</f>
        <v>257.28999999999996</v>
      </c>
      <c r="H631" s="4">
        <f t="shared" si="290"/>
        <v>18.853227815637133</v>
      </c>
    </row>
    <row r="632" spans="1:8" ht="48.75" customHeight="1" x14ac:dyDescent="0.25">
      <c r="A632" s="25" t="s">
        <v>454</v>
      </c>
      <c r="B632" s="20" t="s">
        <v>280</v>
      </c>
      <c r="C632" s="20" t="s">
        <v>229</v>
      </c>
      <c r="D632" s="20" t="s">
        <v>1041</v>
      </c>
      <c r="E632" s="20"/>
      <c r="F632" s="6">
        <f>F633</f>
        <v>868</v>
      </c>
      <c r="G632" s="6">
        <f t="shared" ref="G632:G633" si="313">G633</f>
        <v>202.29</v>
      </c>
      <c r="H632" s="6">
        <f t="shared" si="290"/>
        <v>23.305299539170505</v>
      </c>
    </row>
    <row r="633" spans="1:8" ht="37.5" customHeight="1" x14ac:dyDescent="0.25">
      <c r="A633" s="25" t="s">
        <v>288</v>
      </c>
      <c r="B633" s="20" t="s">
        <v>280</v>
      </c>
      <c r="C633" s="20" t="s">
        <v>229</v>
      </c>
      <c r="D633" s="20" t="s">
        <v>1041</v>
      </c>
      <c r="E633" s="20" t="s">
        <v>289</v>
      </c>
      <c r="F633" s="6">
        <f>F634</f>
        <v>868</v>
      </c>
      <c r="G633" s="6">
        <f t="shared" si="313"/>
        <v>202.29</v>
      </c>
      <c r="H633" s="6">
        <f t="shared" si="290"/>
        <v>23.305299539170505</v>
      </c>
    </row>
    <row r="634" spans="1:8" ht="15" customHeight="1" x14ac:dyDescent="0.25">
      <c r="A634" s="25" t="s">
        <v>290</v>
      </c>
      <c r="B634" s="20" t="s">
        <v>280</v>
      </c>
      <c r="C634" s="20" t="s">
        <v>229</v>
      </c>
      <c r="D634" s="20" t="s">
        <v>1041</v>
      </c>
      <c r="E634" s="20" t="s">
        <v>291</v>
      </c>
      <c r="F634" s="6">
        <f>'Пр.4 ведом.20'!G683</f>
        <v>868</v>
      </c>
      <c r="G634" s="6">
        <f>'Пр.4 ведом.20'!H683</f>
        <v>202.29</v>
      </c>
      <c r="H634" s="6">
        <f t="shared" si="290"/>
        <v>23.305299539170505</v>
      </c>
    </row>
    <row r="635" spans="1:8" ht="54" customHeight="1" x14ac:dyDescent="0.25">
      <c r="A635" s="25" t="s">
        <v>474</v>
      </c>
      <c r="B635" s="20" t="s">
        <v>280</v>
      </c>
      <c r="C635" s="20" t="s">
        <v>229</v>
      </c>
      <c r="D635" s="20" t="s">
        <v>1042</v>
      </c>
      <c r="E635" s="20"/>
      <c r="F635" s="6">
        <f>F636</f>
        <v>496.7</v>
      </c>
      <c r="G635" s="6">
        <f t="shared" ref="G635:G636" si="314">G636</f>
        <v>55</v>
      </c>
      <c r="H635" s="6">
        <f t="shared" si="290"/>
        <v>11.073082343466883</v>
      </c>
    </row>
    <row r="636" spans="1:8" ht="36" customHeight="1" x14ac:dyDescent="0.25">
      <c r="A636" s="273" t="s">
        <v>288</v>
      </c>
      <c r="B636" s="20" t="s">
        <v>280</v>
      </c>
      <c r="C636" s="20" t="s">
        <v>229</v>
      </c>
      <c r="D636" s="20" t="s">
        <v>1042</v>
      </c>
      <c r="E636" s="20" t="s">
        <v>289</v>
      </c>
      <c r="F636" s="6">
        <f>F637</f>
        <v>496.7</v>
      </c>
      <c r="G636" s="6">
        <f t="shared" si="314"/>
        <v>55</v>
      </c>
      <c r="H636" s="6">
        <f t="shared" si="290"/>
        <v>11.073082343466883</v>
      </c>
    </row>
    <row r="637" spans="1:8" ht="15.75" x14ac:dyDescent="0.25">
      <c r="A637" s="25" t="s">
        <v>290</v>
      </c>
      <c r="B637" s="20" t="s">
        <v>280</v>
      </c>
      <c r="C637" s="20" t="s">
        <v>229</v>
      </c>
      <c r="D637" s="20" t="s">
        <v>1042</v>
      </c>
      <c r="E637" s="20" t="s">
        <v>291</v>
      </c>
      <c r="F637" s="6">
        <f>'Пр.4 ведом.20'!G686</f>
        <v>496.7</v>
      </c>
      <c r="G637" s="6">
        <f>'Пр.4 ведом.20'!H686</f>
        <v>55</v>
      </c>
      <c r="H637" s="6">
        <f t="shared" si="290"/>
        <v>11.073082343466883</v>
      </c>
    </row>
    <row r="638" spans="1:8" ht="31.5" x14ac:dyDescent="0.25">
      <c r="A638" s="231" t="s">
        <v>1077</v>
      </c>
      <c r="B638" s="24" t="s">
        <v>280</v>
      </c>
      <c r="C638" s="24" t="s">
        <v>229</v>
      </c>
      <c r="D638" s="24" t="s">
        <v>1043</v>
      </c>
      <c r="E638" s="24"/>
      <c r="F638" s="4">
        <f>F639+F642</f>
        <v>2634</v>
      </c>
      <c r="G638" s="4">
        <f t="shared" ref="G638" si="315">G639+G642</f>
        <v>2567</v>
      </c>
      <c r="H638" s="4">
        <f t="shared" si="290"/>
        <v>97.456340167046321</v>
      </c>
    </row>
    <row r="639" spans="1:8" ht="33.75" hidden="1" customHeight="1" x14ac:dyDescent="0.25">
      <c r="A639" s="25" t="s">
        <v>300</v>
      </c>
      <c r="B639" s="20" t="s">
        <v>280</v>
      </c>
      <c r="C639" s="20" t="s">
        <v>229</v>
      </c>
      <c r="D639" s="20" t="s">
        <v>1045</v>
      </c>
      <c r="E639" s="20"/>
      <c r="F639" s="6">
        <f t="shared" ref="F639:G640" si="316">F640</f>
        <v>0</v>
      </c>
      <c r="G639" s="6">
        <f t="shared" si="316"/>
        <v>0</v>
      </c>
      <c r="H639" s="6" t="e">
        <f t="shared" si="290"/>
        <v>#DIV/0!</v>
      </c>
    </row>
    <row r="640" spans="1:8" ht="33.75" hidden="1" customHeight="1" x14ac:dyDescent="0.25">
      <c r="A640" s="25" t="s">
        <v>288</v>
      </c>
      <c r="B640" s="20" t="s">
        <v>280</v>
      </c>
      <c r="C640" s="20" t="s">
        <v>229</v>
      </c>
      <c r="D640" s="20" t="s">
        <v>1045</v>
      </c>
      <c r="E640" s="20" t="s">
        <v>289</v>
      </c>
      <c r="F640" s="6">
        <f t="shared" si="316"/>
        <v>0</v>
      </c>
      <c r="G640" s="6">
        <f t="shared" si="316"/>
        <v>0</v>
      </c>
      <c r="H640" s="6" t="e">
        <f t="shared" si="290"/>
        <v>#DIV/0!</v>
      </c>
    </row>
    <row r="641" spans="1:8" ht="15.75" hidden="1" customHeight="1" x14ac:dyDescent="0.25">
      <c r="A641" s="25" t="s">
        <v>290</v>
      </c>
      <c r="B641" s="20" t="s">
        <v>280</v>
      </c>
      <c r="C641" s="20" t="s">
        <v>229</v>
      </c>
      <c r="D641" s="20" t="s">
        <v>1045</v>
      </c>
      <c r="E641" s="20" t="s">
        <v>291</v>
      </c>
      <c r="F641" s="6">
        <f>'Пр.4 ведом.20'!G690</f>
        <v>0</v>
      </c>
      <c r="G641" s="6">
        <f>'Пр.4 ведом.20'!H690</f>
        <v>0</v>
      </c>
      <c r="H641" s="6" t="e">
        <f t="shared" si="290"/>
        <v>#DIV/0!</v>
      </c>
    </row>
    <row r="642" spans="1:8" ht="36" customHeight="1" x14ac:dyDescent="0.25">
      <c r="A642" s="60" t="s">
        <v>787</v>
      </c>
      <c r="B642" s="20" t="s">
        <v>280</v>
      </c>
      <c r="C642" s="20" t="s">
        <v>229</v>
      </c>
      <c r="D642" s="20" t="s">
        <v>1046</v>
      </c>
      <c r="E642" s="20"/>
      <c r="F642" s="6">
        <f t="shared" ref="F642:G643" si="317">F643</f>
        <v>2634</v>
      </c>
      <c r="G642" s="6">
        <f t="shared" si="317"/>
        <v>2567</v>
      </c>
      <c r="H642" s="6">
        <f t="shared" si="290"/>
        <v>97.456340167046321</v>
      </c>
    </row>
    <row r="643" spans="1:8" ht="33.75" customHeight="1" x14ac:dyDescent="0.25">
      <c r="A643" s="29" t="s">
        <v>288</v>
      </c>
      <c r="B643" s="20" t="s">
        <v>280</v>
      </c>
      <c r="C643" s="20" t="s">
        <v>229</v>
      </c>
      <c r="D643" s="20" t="s">
        <v>1046</v>
      </c>
      <c r="E643" s="20" t="s">
        <v>289</v>
      </c>
      <c r="F643" s="6">
        <f t="shared" si="317"/>
        <v>2634</v>
      </c>
      <c r="G643" s="6">
        <f t="shared" si="317"/>
        <v>2567</v>
      </c>
      <c r="H643" s="6">
        <f t="shared" si="290"/>
        <v>97.456340167046321</v>
      </c>
    </row>
    <row r="644" spans="1:8" ht="15.75" customHeight="1" x14ac:dyDescent="0.25">
      <c r="A644" s="192" t="s">
        <v>290</v>
      </c>
      <c r="B644" s="20" t="s">
        <v>280</v>
      </c>
      <c r="C644" s="20" t="s">
        <v>229</v>
      </c>
      <c r="D644" s="20" t="s">
        <v>1046</v>
      </c>
      <c r="E644" s="20" t="s">
        <v>291</v>
      </c>
      <c r="F644" s="6">
        <f>'Пр.4 ведом.20'!G693</f>
        <v>2634</v>
      </c>
      <c r="G644" s="6">
        <f>'Пр.4 ведом.20'!H693</f>
        <v>2567</v>
      </c>
      <c r="H644" s="6">
        <f t="shared" si="290"/>
        <v>97.456340167046321</v>
      </c>
    </row>
    <row r="645" spans="1:8" ht="31.7" customHeight="1" x14ac:dyDescent="0.25">
      <c r="A645" s="229" t="s">
        <v>1048</v>
      </c>
      <c r="B645" s="24" t="s">
        <v>280</v>
      </c>
      <c r="C645" s="24" t="s">
        <v>229</v>
      </c>
      <c r="D645" s="24" t="s">
        <v>1044</v>
      </c>
      <c r="E645" s="24"/>
      <c r="F645" s="4">
        <f>F646+F649</f>
        <v>752.8</v>
      </c>
      <c r="G645" s="4">
        <f t="shared" ref="G645" si="318">G646+G649</f>
        <v>84.1</v>
      </c>
      <c r="H645" s="4">
        <f t="shared" si="290"/>
        <v>11.171625929861849</v>
      </c>
    </row>
    <row r="646" spans="1:8" ht="51" customHeight="1" x14ac:dyDescent="0.25">
      <c r="A646" s="192" t="s">
        <v>874</v>
      </c>
      <c r="B646" s="20" t="s">
        <v>280</v>
      </c>
      <c r="C646" s="20" t="s">
        <v>229</v>
      </c>
      <c r="D646" s="338" t="s">
        <v>1517</v>
      </c>
      <c r="E646" s="20"/>
      <c r="F646" s="6">
        <f t="shared" ref="F646:G647" si="319">F647</f>
        <v>678</v>
      </c>
      <c r="G646" s="6">
        <f t="shared" si="319"/>
        <v>84.1</v>
      </c>
      <c r="H646" s="6">
        <f t="shared" si="290"/>
        <v>12.404129793510323</v>
      </c>
    </row>
    <row r="647" spans="1:8" ht="33" customHeight="1" x14ac:dyDescent="0.25">
      <c r="A647" s="31" t="s">
        <v>288</v>
      </c>
      <c r="B647" s="20" t="s">
        <v>280</v>
      </c>
      <c r="C647" s="20" t="s">
        <v>229</v>
      </c>
      <c r="D647" s="338" t="s">
        <v>1517</v>
      </c>
      <c r="E647" s="20" t="s">
        <v>289</v>
      </c>
      <c r="F647" s="6">
        <f>F648</f>
        <v>678</v>
      </c>
      <c r="G647" s="6">
        <f t="shared" si="319"/>
        <v>84.1</v>
      </c>
      <c r="H647" s="6">
        <f t="shared" si="290"/>
        <v>12.404129793510323</v>
      </c>
    </row>
    <row r="648" spans="1:8" ht="15.75" x14ac:dyDescent="0.25">
      <c r="A648" s="31" t="s">
        <v>290</v>
      </c>
      <c r="B648" s="20" t="s">
        <v>280</v>
      </c>
      <c r="C648" s="20" t="s">
        <v>229</v>
      </c>
      <c r="D648" s="338" t="s">
        <v>1517</v>
      </c>
      <c r="E648" s="20" t="s">
        <v>291</v>
      </c>
      <c r="F648" s="6">
        <f>'Пр.4 ведом.20'!G697</f>
        <v>678</v>
      </c>
      <c r="G648" s="6">
        <f>'Пр.4 ведом.20'!H697</f>
        <v>84.1</v>
      </c>
      <c r="H648" s="6">
        <f t="shared" si="290"/>
        <v>12.404129793510323</v>
      </c>
    </row>
    <row r="649" spans="1:8" s="331" customFormat="1" ht="31.5" x14ac:dyDescent="0.25">
      <c r="A649" s="31" t="s">
        <v>1516</v>
      </c>
      <c r="B649" s="338" t="s">
        <v>280</v>
      </c>
      <c r="C649" s="338" t="s">
        <v>229</v>
      </c>
      <c r="D649" s="338" t="s">
        <v>1518</v>
      </c>
      <c r="E649" s="338"/>
      <c r="F649" s="6">
        <f>F650</f>
        <v>74.8</v>
      </c>
      <c r="G649" s="6">
        <f t="shared" ref="G649:G650" si="320">G650</f>
        <v>0</v>
      </c>
      <c r="H649" s="6">
        <f t="shared" si="290"/>
        <v>0</v>
      </c>
    </row>
    <row r="650" spans="1:8" s="331" customFormat="1" ht="31.5" x14ac:dyDescent="0.25">
      <c r="A650" s="31" t="s">
        <v>288</v>
      </c>
      <c r="B650" s="338" t="s">
        <v>280</v>
      </c>
      <c r="C650" s="338" t="s">
        <v>229</v>
      </c>
      <c r="D650" s="338" t="s">
        <v>1518</v>
      </c>
      <c r="E650" s="338" t="s">
        <v>289</v>
      </c>
      <c r="F650" s="6">
        <f>F651</f>
        <v>74.8</v>
      </c>
      <c r="G650" s="6">
        <f t="shared" si="320"/>
        <v>0</v>
      </c>
      <c r="H650" s="6">
        <f t="shared" si="290"/>
        <v>0</v>
      </c>
    </row>
    <row r="651" spans="1:8" s="331" customFormat="1" ht="15.75" x14ac:dyDescent="0.25">
      <c r="A651" s="31" t="s">
        <v>290</v>
      </c>
      <c r="B651" s="338" t="s">
        <v>280</v>
      </c>
      <c r="C651" s="338" t="s">
        <v>229</v>
      </c>
      <c r="D651" s="338" t="s">
        <v>1518</v>
      </c>
      <c r="E651" s="338" t="s">
        <v>291</v>
      </c>
      <c r="F651" s="6">
        <f>'Пр.4 ведом.20'!G700</f>
        <v>74.8</v>
      </c>
      <c r="G651" s="6">
        <f>'Пр.4 ведом.20'!H700</f>
        <v>0</v>
      </c>
      <c r="H651" s="6">
        <f t="shared" ref="H651:H714" si="321">G651/F651*100</f>
        <v>0</v>
      </c>
    </row>
    <row r="652" spans="1:8" s="331" customFormat="1" ht="47.25" x14ac:dyDescent="0.25">
      <c r="A652" s="229" t="s">
        <v>1414</v>
      </c>
      <c r="B652" s="24" t="s">
        <v>280</v>
      </c>
      <c r="C652" s="24" t="s">
        <v>229</v>
      </c>
      <c r="D652" s="24" t="s">
        <v>1412</v>
      </c>
      <c r="E652" s="24"/>
      <c r="F652" s="21">
        <f>F653+F656</f>
        <v>1164.8589999999999</v>
      </c>
      <c r="G652" s="339">
        <f t="shared" ref="G652" si="322">G653+G656</f>
        <v>0</v>
      </c>
      <c r="H652" s="4">
        <f t="shared" si="321"/>
        <v>0</v>
      </c>
    </row>
    <row r="653" spans="1:8" s="331" customFormat="1" ht="47.25" x14ac:dyDescent="0.25">
      <c r="A653" s="192" t="s">
        <v>1453</v>
      </c>
      <c r="B653" s="20" t="s">
        <v>280</v>
      </c>
      <c r="C653" s="20" t="s">
        <v>229</v>
      </c>
      <c r="D653" s="20" t="s">
        <v>1413</v>
      </c>
      <c r="E653" s="20"/>
      <c r="F653" s="26">
        <f>F654</f>
        <v>1164.8589999999999</v>
      </c>
      <c r="G653" s="343">
        <f t="shared" ref="G653:G654" si="323">G654</f>
        <v>0</v>
      </c>
      <c r="H653" s="6">
        <f t="shared" si="321"/>
        <v>0</v>
      </c>
    </row>
    <row r="654" spans="1:8" s="331" customFormat="1" ht="31.5" x14ac:dyDescent="0.25">
      <c r="A654" s="31" t="s">
        <v>288</v>
      </c>
      <c r="B654" s="20" t="s">
        <v>280</v>
      </c>
      <c r="C654" s="20" t="s">
        <v>229</v>
      </c>
      <c r="D654" s="20" t="s">
        <v>1413</v>
      </c>
      <c r="E654" s="20" t="s">
        <v>289</v>
      </c>
      <c r="F654" s="26">
        <f>F655</f>
        <v>1164.8589999999999</v>
      </c>
      <c r="G654" s="343">
        <f t="shared" si="323"/>
        <v>0</v>
      </c>
      <c r="H654" s="6">
        <f t="shared" si="321"/>
        <v>0</v>
      </c>
    </row>
    <row r="655" spans="1:8" s="331" customFormat="1" ht="15.75" x14ac:dyDescent="0.25">
      <c r="A655" s="31" t="s">
        <v>290</v>
      </c>
      <c r="B655" s="20" t="s">
        <v>280</v>
      </c>
      <c r="C655" s="20" t="s">
        <v>229</v>
      </c>
      <c r="D655" s="20" t="s">
        <v>1413</v>
      </c>
      <c r="E655" s="20" t="s">
        <v>291</v>
      </c>
      <c r="F655" s="26">
        <f>'Пр.4 ведом.20'!G704</f>
        <v>1164.8589999999999</v>
      </c>
      <c r="G655" s="343">
        <f>'Пр.4 ведом.20'!H704</f>
        <v>0</v>
      </c>
      <c r="H655" s="6">
        <f t="shared" si="321"/>
        <v>0</v>
      </c>
    </row>
    <row r="656" spans="1:8" s="331" customFormat="1" ht="63" hidden="1" x14ac:dyDescent="0.25">
      <c r="A656" s="192" t="s">
        <v>1537</v>
      </c>
      <c r="B656" s="338" t="s">
        <v>280</v>
      </c>
      <c r="C656" s="338" t="s">
        <v>229</v>
      </c>
      <c r="D656" s="338" t="s">
        <v>1536</v>
      </c>
      <c r="E656" s="338"/>
      <c r="F656" s="343">
        <f>F657</f>
        <v>0</v>
      </c>
      <c r="G656" s="343">
        <f t="shared" ref="G656:G657" si="324">G657</f>
        <v>0</v>
      </c>
      <c r="H656" s="6" t="e">
        <f t="shared" si="321"/>
        <v>#DIV/0!</v>
      </c>
    </row>
    <row r="657" spans="1:12" s="331" customFormat="1" ht="31.5" hidden="1" x14ac:dyDescent="0.25">
      <c r="A657" s="31" t="s">
        <v>288</v>
      </c>
      <c r="B657" s="338" t="s">
        <v>280</v>
      </c>
      <c r="C657" s="338" t="s">
        <v>229</v>
      </c>
      <c r="D657" s="338" t="s">
        <v>1536</v>
      </c>
      <c r="E657" s="338" t="s">
        <v>289</v>
      </c>
      <c r="F657" s="343">
        <f>F658</f>
        <v>0</v>
      </c>
      <c r="G657" s="343">
        <f t="shared" si="324"/>
        <v>0</v>
      </c>
      <c r="H657" s="6" t="e">
        <f t="shared" si="321"/>
        <v>#DIV/0!</v>
      </c>
    </row>
    <row r="658" spans="1:12" s="331" customFormat="1" ht="15.75" hidden="1" x14ac:dyDescent="0.25">
      <c r="A658" s="31" t="s">
        <v>290</v>
      </c>
      <c r="B658" s="338" t="s">
        <v>280</v>
      </c>
      <c r="C658" s="338" t="s">
        <v>229</v>
      </c>
      <c r="D658" s="338" t="s">
        <v>1536</v>
      </c>
      <c r="E658" s="338" t="s">
        <v>291</v>
      </c>
      <c r="F658" s="343">
        <f>'Пр.4 ведом.20'!G707</f>
        <v>0</v>
      </c>
      <c r="G658" s="343">
        <f>'Пр.4 ведом.20'!H707</f>
        <v>0</v>
      </c>
      <c r="H658" s="6" t="e">
        <f t="shared" si="321"/>
        <v>#DIV/0!</v>
      </c>
    </row>
    <row r="659" spans="1:12" ht="63" customHeight="1" x14ac:dyDescent="0.25">
      <c r="A659" s="34" t="s">
        <v>805</v>
      </c>
      <c r="B659" s="24" t="s">
        <v>280</v>
      </c>
      <c r="C659" s="24" t="s">
        <v>229</v>
      </c>
      <c r="D659" s="24" t="s">
        <v>340</v>
      </c>
      <c r="E659" s="24"/>
      <c r="F659" s="4">
        <f t="shared" ref="F659:G660" si="325">F660</f>
        <v>150</v>
      </c>
      <c r="G659" s="4">
        <f t="shared" si="325"/>
        <v>150</v>
      </c>
      <c r="H659" s="4">
        <f t="shared" si="321"/>
        <v>100</v>
      </c>
    </row>
    <row r="660" spans="1:12" ht="63" x14ac:dyDescent="0.25">
      <c r="A660" s="34" t="s">
        <v>1190</v>
      </c>
      <c r="B660" s="24" t="s">
        <v>280</v>
      </c>
      <c r="C660" s="24" t="s">
        <v>229</v>
      </c>
      <c r="D660" s="24" t="s">
        <v>1025</v>
      </c>
      <c r="E660" s="24"/>
      <c r="F660" s="4">
        <f>F661</f>
        <v>150</v>
      </c>
      <c r="G660" s="4">
        <f t="shared" si="325"/>
        <v>150</v>
      </c>
      <c r="H660" s="4">
        <f t="shared" si="321"/>
        <v>100</v>
      </c>
    </row>
    <row r="661" spans="1:12" ht="47.25" x14ac:dyDescent="0.25">
      <c r="A661" s="31" t="s">
        <v>1161</v>
      </c>
      <c r="B661" s="20" t="s">
        <v>280</v>
      </c>
      <c r="C661" s="20" t="s">
        <v>229</v>
      </c>
      <c r="D661" s="20" t="s">
        <v>1026</v>
      </c>
      <c r="E661" s="20"/>
      <c r="F661" s="6">
        <f t="shared" ref="F661:G662" si="326">F662</f>
        <v>150</v>
      </c>
      <c r="G661" s="6">
        <f t="shared" si="326"/>
        <v>150</v>
      </c>
      <c r="H661" s="6">
        <f t="shared" si="321"/>
        <v>100</v>
      </c>
    </row>
    <row r="662" spans="1:12" ht="31.5" x14ac:dyDescent="0.25">
      <c r="A662" s="31" t="s">
        <v>288</v>
      </c>
      <c r="B662" s="20" t="s">
        <v>280</v>
      </c>
      <c r="C662" s="20" t="s">
        <v>229</v>
      </c>
      <c r="D662" s="20" t="s">
        <v>1026</v>
      </c>
      <c r="E662" s="20" t="s">
        <v>289</v>
      </c>
      <c r="F662" s="6">
        <f t="shared" si="326"/>
        <v>150</v>
      </c>
      <c r="G662" s="6">
        <f t="shared" si="326"/>
        <v>150</v>
      </c>
      <c r="H662" s="6">
        <f t="shared" si="321"/>
        <v>100</v>
      </c>
    </row>
    <row r="663" spans="1:12" ht="15.75" x14ac:dyDescent="0.25">
      <c r="A663" s="31" t="s">
        <v>290</v>
      </c>
      <c r="B663" s="20" t="s">
        <v>280</v>
      </c>
      <c r="C663" s="20" t="s">
        <v>229</v>
      </c>
      <c r="D663" s="20" t="s">
        <v>1026</v>
      </c>
      <c r="E663" s="20" t="s">
        <v>291</v>
      </c>
      <c r="F663" s="6">
        <f>'Пр.4 ведом.20'!G712</f>
        <v>150</v>
      </c>
      <c r="G663" s="6">
        <f>'Пр.4 ведом.20'!H712</f>
        <v>150</v>
      </c>
      <c r="H663" s="6">
        <f t="shared" si="321"/>
        <v>100</v>
      </c>
    </row>
    <row r="664" spans="1:12" ht="63" x14ac:dyDescent="0.25">
      <c r="A664" s="41" t="s">
        <v>1179</v>
      </c>
      <c r="B664" s="24" t="s">
        <v>280</v>
      </c>
      <c r="C664" s="24" t="s">
        <v>229</v>
      </c>
      <c r="D664" s="24" t="s">
        <v>728</v>
      </c>
      <c r="E664" s="235"/>
      <c r="F664" s="4">
        <f t="shared" ref="F664:G666" si="327">F665</f>
        <v>723.3</v>
      </c>
      <c r="G664" s="4">
        <f t="shared" si="327"/>
        <v>286.8</v>
      </c>
      <c r="H664" s="4">
        <f t="shared" si="321"/>
        <v>39.651596847781008</v>
      </c>
    </row>
    <row r="665" spans="1:12" ht="47.25" x14ac:dyDescent="0.25">
      <c r="A665" s="41" t="s">
        <v>949</v>
      </c>
      <c r="B665" s="24" t="s">
        <v>280</v>
      </c>
      <c r="C665" s="24" t="s">
        <v>229</v>
      </c>
      <c r="D665" s="24" t="s">
        <v>947</v>
      </c>
      <c r="E665" s="235"/>
      <c r="F665" s="4">
        <f t="shared" si="327"/>
        <v>723.3</v>
      </c>
      <c r="G665" s="4">
        <f t="shared" si="327"/>
        <v>286.8</v>
      </c>
      <c r="H665" s="4">
        <f t="shared" si="321"/>
        <v>39.651596847781008</v>
      </c>
    </row>
    <row r="666" spans="1:12" ht="47.25" x14ac:dyDescent="0.25">
      <c r="A666" s="99" t="s">
        <v>803</v>
      </c>
      <c r="B666" s="20" t="s">
        <v>280</v>
      </c>
      <c r="C666" s="20" t="s">
        <v>229</v>
      </c>
      <c r="D666" s="20" t="s">
        <v>1027</v>
      </c>
      <c r="E666" s="32"/>
      <c r="F666" s="6">
        <f>F667</f>
        <v>723.3</v>
      </c>
      <c r="G666" s="6">
        <f t="shared" si="327"/>
        <v>286.8</v>
      </c>
      <c r="H666" s="6">
        <f t="shared" si="321"/>
        <v>39.651596847781008</v>
      </c>
    </row>
    <row r="667" spans="1:12" ht="36.75" customHeight="1" x14ac:dyDescent="0.25">
      <c r="A667" s="29" t="s">
        <v>288</v>
      </c>
      <c r="B667" s="20" t="s">
        <v>280</v>
      </c>
      <c r="C667" s="20" t="s">
        <v>229</v>
      </c>
      <c r="D667" s="20" t="s">
        <v>1027</v>
      </c>
      <c r="E667" s="32" t="s">
        <v>289</v>
      </c>
      <c r="F667" s="6">
        <f t="shared" ref="F667:G667" si="328">F668</f>
        <v>723.3</v>
      </c>
      <c r="G667" s="6">
        <f t="shared" si="328"/>
        <v>286.8</v>
      </c>
      <c r="H667" s="6">
        <f t="shared" si="321"/>
        <v>39.651596847781008</v>
      </c>
    </row>
    <row r="668" spans="1:12" ht="15.75" x14ac:dyDescent="0.25">
      <c r="A668" s="192" t="s">
        <v>290</v>
      </c>
      <c r="B668" s="20" t="s">
        <v>280</v>
      </c>
      <c r="C668" s="20" t="s">
        <v>229</v>
      </c>
      <c r="D668" s="20" t="s">
        <v>1027</v>
      </c>
      <c r="E668" s="32" t="s">
        <v>291</v>
      </c>
      <c r="F668" s="6">
        <f>'Пр.4 ведом.20'!G717</f>
        <v>723.3</v>
      </c>
      <c r="G668" s="6">
        <f>'Пр.4 ведом.20'!H717</f>
        <v>286.8</v>
      </c>
      <c r="H668" s="6">
        <f t="shared" si="321"/>
        <v>39.651596847781008</v>
      </c>
    </row>
    <row r="669" spans="1:12" ht="15.75" x14ac:dyDescent="0.25">
      <c r="A669" s="41" t="s">
        <v>281</v>
      </c>
      <c r="B669" s="7" t="s">
        <v>280</v>
      </c>
      <c r="C669" s="7" t="s">
        <v>231</v>
      </c>
      <c r="D669" s="24"/>
      <c r="E669" s="7"/>
      <c r="F669" s="4">
        <f>F670+F698+F735</f>
        <v>52627.999999999993</v>
      </c>
      <c r="G669" s="4">
        <f t="shared" ref="G669" si="329">G670+G698+G735</f>
        <v>30261.37</v>
      </c>
      <c r="H669" s="4">
        <f t="shared" si="321"/>
        <v>57.500513034886382</v>
      </c>
    </row>
    <row r="670" spans="1:12" ht="47.25" x14ac:dyDescent="0.25">
      <c r="A670" s="23" t="s">
        <v>442</v>
      </c>
      <c r="B670" s="24" t="s">
        <v>280</v>
      </c>
      <c r="C670" s="24" t="s">
        <v>231</v>
      </c>
      <c r="D670" s="24" t="s">
        <v>422</v>
      </c>
      <c r="E670" s="24"/>
      <c r="F670" s="4">
        <f>F671+F689</f>
        <v>34926.199999999997</v>
      </c>
      <c r="G670" s="4">
        <f t="shared" ref="G670" si="330">G671+G689</f>
        <v>21061.37</v>
      </c>
      <c r="H670" s="4">
        <f t="shared" si="321"/>
        <v>60.302494975118968</v>
      </c>
      <c r="L670" s="22"/>
    </row>
    <row r="671" spans="1:12" ht="33.75" customHeight="1" x14ac:dyDescent="0.25">
      <c r="A671" s="23" t="s">
        <v>423</v>
      </c>
      <c r="B671" s="24" t="s">
        <v>280</v>
      </c>
      <c r="C671" s="24" t="s">
        <v>231</v>
      </c>
      <c r="D671" s="24" t="s">
        <v>424</v>
      </c>
      <c r="E671" s="24"/>
      <c r="F671" s="4">
        <f>F672+F676</f>
        <v>34237.199999999997</v>
      </c>
      <c r="G671" s="4">
        <f t="shared" ref="G671" si="331">G672+G676</f>
        <v>20461.37</v>
      </c>
      <c r="H671" s="4">
        <f t="shared" si="321"/>
        <v>59.76356127253397</v>
      </c>
      <c r="L671" s="22"/>
    </row>
    <row r="672" spans="1:12" ht="31.5" x14ac:dyDescent="0.25">
      <c r="A672" s="23" t="s">
        <v>1028</v>
      </c>
      <c r="B672" s="24" t="s">
        <v>280</v>
      </c>
      <c r="C672" s="24" t="s">
        <v>231</v>
      </c>
      <c r="D672" s="24" t="s">
        <v>1006</v>
      </c>
      <c r="E672" s="24"/>
      <c r="F672" s="4">
        <f t="shared" ref="F672:G673" si="332">F673</f>
        <v>32614.999999999996</v>
      </c>
      <c r="G672" s="4">
        <f t="shared" si="332"/>
        <v>19239</v>
      </c>
      <c r="H672" s="4">
        <f t="shared" si="321"/>
        <v>58.988195615514336</v>
      </c>
    </row>
    <row r="673" spans="1:8" ht="47.25" x14ac:dyDescent="0.25">
      <c r="A673" s="25" t="s">
        <v>286</v>
      </c>
      <c r="B673" s="20" t="s">
        <v>280</v>
      </c>
      <c r="C673" s="20" t="s">
        <v>231</v>
      </c>
      <c r="D673" s="20" t="s">
        <v>1051</v>
      </c>
      <c r="E673" s="20"/>
      <c r="F673" s="6">
        <f t="shared" si="332"/>
        <v>32614.999999999996</v>
      </c>
      <c r="G673" s="6">
        <f t="shared" si="332"/>
        <v>19239</v>
      </c>
      <c r="H673" s="6">
        <f t="shared" si="321"/>
        <v>58.988195615514336</v>
      </c>
    </row>
    <row r="674" spans="1:8" ht="40.700000000000003" customHeight="1" x14ac:dyDescent="0.25">
      <c r="A674" s="25" t="s">
        <v>288</v>
      </c>
      <c r="B674" s="20" t="s">
        <v>280</v>
      </c>
      <c r="C674" s="20" t="s">
        <v>231</v>
      </c>
      <c r="D674" s="20" t="s">
        <v>1051</v>
      </c>
      <c r="E674" s="20" t="s">
        <v>289</v>
      </c>
      <c r="F674" s="6">
        <f>'Пр.4 ведом.20'!G724</f>
        <v>32614.999999999996</v>
      </c>
      <c r="G674" s="6">
        <f>'Пр.4 ведом.20'!H724</f>
        <v>19239</v>
      </c>
      <c r="H674" s="6">
        <f t="shared" si="321"/>
        <v>58.988195615514336</v>
      </c>
    </row>
    <row r="675" spans="1:8" ht="15.75" x14ac:dyDescent="0.25">
      <c r="A675" s="25" t="s">
        <v>290</v>
      </c>
      <c r="B675" s="20" t="s">
        <v>280</v>
      </c>
      <c r="C675" s="20" t="s">
        <v>231</v>
      </c>
      <c r="D675" s="20" t="s">
        <v>1051</v>
      </c>
      <c r="E675" s="20" t="s">
        <v>291</v>
      </c>
      <c r="F675" s="6">
        <f>'Пр.4 ведом.20'!G724</f>
        <v>32614.999999999996</v>
      </c>
      <c r="G675" s="6">
        <f>'Пр.4 ведом.20'!H724</f>
        <v>19239</v>
      </c>
      <c r="H675" s="6">
        <f t="shared" si="321"/>
        <v>58.988195615514336</v>
      </c>
    </row>
    <row r="676" spans="1:8" ht="47.25" x14ac:dyDescent="0.25">
      <c r="A676" s="23" t="s">
        <v>971</v>
      </c>
      <c r="B676" s="24" t="s">
        <v>280</v>
      </c>
      <c r="C676" s="24" t="s">
        <v>231</v>
      </c>
      <c r="D676" s="24" t="s">
        <v>1021</v>
      </c>
      <c r="E676" s="24"/>
      <c r="F676" s="4">
        <f>F680+F683+F686+F677</f>
        <v>1622.2</v>
      </c>
      <c r="G676" s="4">
        <f t="shared" ref="G676" si="333">G680+G683+G686+G677</f>
        <v>1222.3700000000001</v>
      </c>
      <c r="H676" s="4">
        <f t="shared" si="321"/>
        <v>75.352607569966708</v>
      </c>
    </row>
    <row r="677" spans="1:8" s="331" customFormat="1" ht="94.5" x14ac:dyDescent="0.25">
      <c r="A677" s="31" t="s">
        <v>309</v>
      </c>
      <c r="B677" s="338" t="s">
        <v>280</v>
      </c>
      <c r="C677" s="338" t="s">
        <v>231</v>
      </c>
      <c r="D677" s="338" t="s">
        <v>1519</v>
      </c>
      <c r="E677" s="338"/>
      <c r="F677" s="6">
        <f>F678</f>
        <v>216.9</v>
      </c>
      <c r="G677" s="6">
        <f t="shared" ref="G677:G678" si="334">G678</f>
        <v>65.67</v>
      </c>
      <c r="H677" s="6">
        <f t="shared" si="321"/>
        <v>30.276625172890732</v>
      </c>
    </row>
    <row r="678" spans="1:8" s="331" customFormat="1" ht="31.5" x14ac:dyDescent="0.25">
      <c r="A678" s="342" t="s">
        <v>288</v>
      </c>
      <c r="B678" s="338" t="s">
        <v>280</v>
      </c>
      <c r="C678" s="338" t="s">
        <v>231</v>
      </c>
      <c r="D678" s="338" t="s">
        <v>1519</v>
      </c>
      <c r="E678" s="338" t="s">
        <v>289</v>
      </c>
      <c r="F678" s="6">
        <f>F679</f>
        <v>216.9</v>
      </c>
      <c r="G678" s="6">
        <f t="shared" si="334"/>
        <v>65.67</v>
      </c>
      <c r="H678" s="6">
        <f t="shared" si="321"/>
        <v>30.276625172890732</v>
      </c>
    </row>
    <row r="679" spans="1:8" s="331" customFormat="1" ht="15.75" x14ac:dyDescent="0.25">
      <c r="A679" s="342" t="s">
        <v>290</v>
      </c>
      <c r="B679" s="338" t="s">
        <v>280</v>
      </c>
      <c r="C679" s="338" t="s">
        <v>231</v>
      </c>
      <c r="D679" s="338" t="s">
        <v>1519</v>
      </c>
      <c r="E679" s="338" t="s">
        <v>291</v>
      </c>
      <c r="F679" s="6">
        <f>'Пр.4 ведом.20'!G728</f>
        <v>216.9</v>
      </c>
      <c r="G679" s="6">
        <f>'Пр.4 ведом.20'!H728</f>
        <v>65.67</v>
      </c>
      <c r="H679" s="6">
        <f t="shared" si="321"/>
        <v>30.276625172890732</v>
      </c>
    </row>
    <row r="680" spans="1:8" ht="63" x14ac:dyDescent="0.25">
      <c r="A680" s="31" t="s">
        <v>305</v>
      </c>
      <c r="B680" s="20" t="s">
        <v>280</v>
      </c>
      <c r="C680" s="20" t="s">
        <v>231</v>
      </c>
      <c r="D680" s="20" t="s">
        <v>1020</v>
      </c>
      <c r="E680" s="20"/>
      <c r="F680" s="6">
        <f t="shared" ref="F680:G681" si="335">F681</f>
        <v>169.3</v>
      </c>
      <c r="G680" s="6">
        <f t="shared" si="335"/>
        <v>106.2</v>
      </c>
      <c r="H680" s="6">
        <f t="shared" si="321"/>
        <v>62.728883638511512</v>
      </c>
    </row>
    <row r="681" spans="1:8" ht="31.5" x14ac:dyDescent="0.25">
      <c r="A681" s="25" t="s">
        <v>288</v>
      </c>
      <c r="B681" s="20" t="s">
        <v>280</v>
      </c>
      <c r="C681" s="20" t="s">
        <v>231</v>
      </c>
      <c r="D681" s="20" t="s">
        <v>1020</v>
      </c>
      <c r="E681" s="20" t="s">
        <v>289</v>
      </c>
      <c r="F681" s="6">
        <f>F682</f>
        <v>169.3</v>
      </c>
      <c r="G681" s="6">
        <f t="shared" si="335"/>
        <v>106.2</v>
      </c>
      <c r="H681" s="6">
        <f t="shared" si="321"/>
        <v>62.728883638511512</v>
      </c>
    </row>
    <row r="682" spans="1:8" ht="15.75" x14ac:dyDescent="0.25">
      <c r="A682" s="25" t="s">
        <v>290</v>
      </c>
      <c r="B682" s="20" t="s">
        <v>280</v>
      </c>
      <c r="C682" s="20" t="s">
        <v>231</v>
      </c>
      <c r="D682" s="20" t="s">
        <v>1020</v>
      </c>
      <c r="E682" s="20" t="s">
        <v>291</v>
      </c>
      <c r="F682" s="6">
        <f>'Пр.4 ведом.20'!G731</f>
        <v>169.3</v>
      </c>
      <c r="G682" s="6">
        <f>'Пр.4 ведом.20'!H731</f>
        <v>106.2</v>
      </c>
      <c r="H682" s="6">
        <f t="shared" si="321"/>
        <v>62.728883638511512</v>
      </c>
    </row>
    <row r="683" spans="1:8" ht="63" x14ac:dyDescent="0.25">
      <c r="A683" s="31" t="s">
        <v>307</v>
      </c>
      <c r="B683" s="20" t="s">
        <v>280</v>
      </c>
      <c r="C683" s="20" t="s">
        <v>231</v>
      </c>
      <c r="D683" s="20" t="s">
        <v>1023</v>
      </c>
      <c r="E683" s="20"/>
      <c r="F683" s="6">
        <f t="shared" ref="F683:G684" si="336">F684</f>
        <v>549.5</v>
      </c>
      <c r="G683" s="6">
        <f t="shared" si="336"/>
        <v>364</v>
      </c>
      <c r="H683" s="6">
        <f t="shared" si="321"/>
        <v>66.242038216560502</v>
      </c>
    </row>
    <row r="684" spans="1:8" ht="31.5" x14ac:dyDescent="0.25">
      <c r="A684" s="25" t="s">
        <v>288</v>
      </c>
      <c r="B684" s="20" t="s">
        <v>280</v>
      </c>
      <c r="C684" s="20" t="s">
        <v>231</v>
      </c>
      <c r="D684" s="20" t="s">
        <v>1023</v>
      </c>
      <c r="E684" s="20" t="s">
        <v>289</v>
      </c>
      <c r="F684" s="6">
        <f>F685</f>
        <v>549.5</v>
      </c>
      <c r="G684" s="6">
        <f t="shared" si="336"/>
        <v>364</v>
      </c>
      <c r="H684" s="6">
        <f t="shared" si="321"/>
        <v>66.242038216560502</v>
      </c>
    </row>
    <row r="685" spans="1:8" ht="15.75" x14ac:dyDescent="0.25">
      <c r="A685" s="25" t="s">
        <v>290</v>
      </c>
      <c r="B685" s="20" t="s">
        <v>280</v>
      </c>
      <c r="C685" s="20" t="s">
        <v>231</v>
      </c>
      <c r="D685" s="20" t="s">
        <v>1023</v>
      </c>
      <c r="E685" s="20" t="s">
        <v>291</v>
      </c>
      <c r="F685" s="6">
        <f>'Пр.4 ведом.20'!G734</f>
        <v>549.5</v>
      </c>
      <c r="G685" s="6">
        <f>'Пр.4 ведом.20'!H734</f>
        <v>364</v>
      </c>
      <c r="H685" s="6">
        <f t="shared" si="321"/>
        <v>66.242038216560502</v>
      </c>
    </row>
    <row r="686" spans="1:8" ht="94.5" x14ac:dyDescent="0.25">
      <c r="A686" s="31" t="s">
        <v>309</v>
      </c>
      <c r="B686" s="20" t="s">
        <v>280</v>
      </c>
      <c r="C686" s="20" t="s">
        <v>231</v>
      </c>
      <c r="D686" s="20" t="s">
        <v>1024</v>
      </c>
      <c r="E686" s="20"/>
      <c r="F686" s="6">
        <f>F687</f>
        <v>686.5</v>
      </c>
      <c r="G686" s="6">
        <f t="shared" ref="G686" si="337">G687</f>
        <v>686.5</v>
      </c>
      <c r="H686" s="6">
        <f t="shared" si="321"/>
        <v>100</v>
      </c>
    </row>
    <row r="687" spans="1:8" ht="31.5" x14ac:dyDescent="0.25">
      <c r="A687" s="25" t="s">
        <v>288</v>
      </c>
      <c r="B687" s="20" t="s">
        <v>280</v>
      </c>
      <c r="C687" s="20" t="s">
        <v>231</v>
      </c>
      <c r="D687" s="20" t="s">
        <v>1024</v>
      </c>
      <c r="E687" s="20" t="s">
        <v>289</v>
      </c>
      <c r="F687" s="6">
        <f t="shared" ref="F687:G687" si="338">F688</f>
        <v>686.5</v>
      </c>
      <c r="G687" s="6">
        <f t="shared" si="338"/>
        <v>686.5</v>
      </c>
      <c r="H687" s="6">
        <f t="shared" si="321"/>
        <v>100</v>
      </c>
    </row>
    <row r="688" spans="1:8" ht="15.75" x14ac:dyDescent="0.25">
      <c r="A688" s="25" t="s">
        <v>290</v>
      </c>
      <c r="B688" s="20" t="s">
        <v>280</v>
      </c>
      <c r="C688" s="20" t="s">
        <v>231</v>
      </c>
      <c r="D688" s="20" t="s">
        <v>1024</v>
      </c>
      <c r="E688" s="20" t="s">
        <v>291</v>
      </c>
      <c r="F688" s="6">
        <f>'Пр.4 ведом.20'!G737</f>
        <v>686.5</v>
      </c>
      <c r="G688" s="6">
        <f>'Пр.4 ведом.20'!H737</f>
        <v>686.5</v>
      </c>
      <c r="H688" s="6">
        <f t="shared" si="321"/>
        <v>100</v>
      </c>
    </row>
    <row r="689" spans="1:8" ht="30.2" customHeight="1" x14ac:dyDescent="0.25">
      <c r="A689" s="34" t="s">
        <v>721</v>
      </c>
      <c r="B689" s="24" t="s">
        <v>280</v>
      </c>
      <c r="C689" s="24" t="s">
        <v>231</v>
      </c>
      <c r="D689" s="24" t="s">
        <v>463</v>
      </c>
      <c r="E689" s="24"/>
      <c r="F689" s="4">
        <f>F690+F694</f>
        <v>689</v>
      </c>
      <c r="G689" s="4">
        <f t="shared" ref="G689" si="339">G690+G694</f>
        <v>600</v>
      </c>
      <c r="H689" s="4">
        <f t="shared" si="321"/>
        <v>87.082728592162553</v>
      </c>
    </row>
    <row r="690" spans="1:8" ht="31.7" hidden="1" customHeight="1" x14ac:dyDescent="0.25">
      <c r="A690" s="23" t="s">
        <v>1052</v>
      </c>
      <c r="B690" s="24" t="s">
        <v>280</v>
      </c>
      <c r="C690" s="24" t="s">
        <v>231</v>
      </c>
      <c r="D690" s="24" t="s">
        <v>1233</v>
      </c>
      <c r="E690" s="24"/>
      <c r="F690" s="4">
        <f>F691</f>
        <v>0</v>
      </c>
      <c r="G690" s="4">
        <f t="shared" ref="G690:G692" si="340">G691</f>
        <v>0</v>
      </c>
      <c r="H690" s="4" t="e">
        <f t="shared" si="321"/>
        <v>#DIV/0!</v>
      </c>
    </row>
    <row r="691" spans="1:8" ht="35.450000000000003" hidden="1" customHeight="1" x14ac:dyDescent="0.25">
      <c r="A691" s="45" t="s">
        <v>789</v>
      </c>
      <c r="B691" s="20" t="s">
        <v>280</v>
      </c>
      <c r="C691" s="20" t="s">
        <v>231</v>
      </c>
      <c r="D691" s="20" t="s">
        <v>1234</v>
      </c>
      <c r="E691" s="20"/>
      <c r="F691" s="6">
        <f>F692</f>
        <v>0</v>
      </c>
      <c r="G691" s="6">
        <f t="shared" si="340"/>
        <v>0</v>
      </c>
      <c r="H691" s="4" t="e">
        <f t="shared" si="321"/>
        <v>#DIV/0!</v>
      </c>
    </row>
    <row r="692" spans="1:8" ht="39.75" hidden="1" customHeight="1" x14ac:dyDescent="0.25">
      <c r="A692" s="31" t="s">
        <v>288</v>
      </c>
      <c r="B692" s="20" t="s">
        <v>280</v>
      </c>
      <c r="C692" s="20" t="s">
        <v>231</v>
      </c>
      <c r="D692" s="20" t="s">
        <v>1234</v>
      </c>
      <c r="E692" s="20" t="s">
        <v>289</v>
      </c>
      <c r="F692" s="6">
        <f>F693</f>
        <v>0</v>
      </c>
      <c r="G692" s="6">
        <f t="shared" si="340"/>
        <v>0</v>
      </c>
      <c r="H692" s="4" t="e">
        <f t="shared" si="321"/>
        <v>#DIV/0!</v>
      </c>
    </row>
    <row r="693" spans="1:8" ht="19.5" hidden="1" customHeight="1" x14ac:dyDescent="0.25">
      <c r="A693" s="31" t="s">
        <v>290</v>
      </c>
      <c r="B693" s="20" t="s">
        <v>280</v>
      </c>
      <c r="C693" s="20" t="s">
        <v>231</v>
      </c>
      <c r="D693" s="20" t="s">
        <v>1234</v>
      </c>
      <c r="E693" s="20" t="s">
        <v>291</v>
      </c>
      <c r="F693" s="6">
        <f>'Пр.4 ведом.20'!G742</f>
        <v>0</v>
      </c>
      <c r="G693" s="6">
        <f>'Пр.4 ведом.20'!H742</f>
        <v>0</v>
      </c>
      <c r="H693" s="4" t="e">
        <f t="shared" si="321"/>
        <v>#DIV/0!</v>
      </c>
    </row>
    <row r="694" spans="1:8" ht="33" customHeight="1" x14ac:dyDescent="0.25">
      <c r="A694" s="231" t="s">
        <v>1077</v>
      </c>
      <c r="B694" s="24" t="s">
        <v>280</v>
      </c>
      <c r="C694" s="24" t="s">
        <v>231</v>
      </c>
      <c r="D694" s="24" t="s">
        <v>1053</v>
      </c>
      <c r="E694" s="24"/>
      <c r="F694" s="4">
        <f>F695</f>
        <v>689</v>
      </c>
      <c r="G694" s="4">
        <f t="shared" ref="G694:G695" si="341">G695</f>
        <v>600</v>
      </c>
      <c r="H694" s="4">
        <f t="shared" si="321"/>
        <v>87.082728592162553</v>
      </c>
    </row>
    <row r="695" spans="1:8" ht="46.5" customHeight="1" x14ac:dyDescent="0.25">
      <c r="A695" s="45" t="s">
        <v>787</v>
      </c>
      <c r="B695" s="20" t="s">
        <v>280</v>
      </c>
      <c r="C695" s="20" t="s">
        <v>231</v>
      </c>
      <c r="D695" s="20" t="s">
        <v>1054</v>
      </c>
      <c r="E695" s="20"/>
      <c r="F695" s="6">
        <f>F696</f>
        <v>689</v>
      </c>
      <c r="G695" s="6">
        <f t="shared" si="341"/>
        <v>600</v>
      </c>
      <c r="H695" s="6">
        <f t="shared" si="321"/>
        <v>87.082728592162553</v>
      </c>
    </row>
    <row r="696" spans="1:8" ht="31.5" x14ac:dyDescent="0.25">
      <c r="A696" s="25" t="s">
        <v>288</v>
      </c>
      <c r="B696" s="20" t="s">
        <v>280</v>
      </c>
      <c r="C696" s="20" t="s">
        <v>231</v>
      </c>
      <c r="D696" s="20" t="s">
        <v>1054</v>
      </c>
      <c r="E696" s="20" t="s">
        <v>289</v>
      </c>
      <c r="F696" s="6">
        <f t="shared" ref="F696:G696" si="342">F697</f>
        <v>689</v>
      </c>
      <c r="G696" s="6">
        <f t="shared" si="342"/>
        <v>600</v>
      </c>
      <c r="H696" s="6">
        <f t="shared" si="321"/>
        <v>87.082728592162553</v>
      </c>
    </row>
    <row r="697" spans="1:8" ht="15.75" x14ac:dyDescent="0.25">
      <c r="A697" s="31" t="s">
        <v>290</v>
      </c>
      <c r="B697" s="20" t="s">
        <v>280</v>
      </c>
      <c r="C697" s="20" t="s">
        <v>231</v>
      </c>
      <c r="D697" s="20" t="s">
        <v>1054</v>
      </c>
      <c r="E697" s="20" t="s">
        <v>291</v>
      </c>
      <c r="F697" s="6">
        <f>'Пр.4 ведом.20'!G746</f>
        <v>689</v>
      </c>
      <c r="G697" s="6">
        <f>'Пр.4 ведом.20'!H746</f>
        <v>600</v>
      </c>
      <c r="H697" s="6">
        <f t="shared" si="321"/>
        <v>87.082728592162553</v>
      </c>
    </row>
    <row r="698" spans="1:8" s="217" customFormat="1" ht="34.5" customHeight="1" x14ac:dyDescent="0.25">
      <c r="A698" s="23" t="s">
        <v>282</v>
      </c>
      <c r="B698" s="24" t="s">
        <v>280</v>
      </c>
      <c r="C698" s="24" t="s">
        <v>231</v>
      </c>
      <c r="D698" s="24" t="s">
        <v>283</v>
      </c>
      <c r="E698" s="24"/>
      <c r="F698" s="4">
        <f>F699</f>
        <v>17073.7</v>
      </c>
      <c r="G698" s="4">
        <f t="shared" ref="G698" si="343">G699</f>
        <v>8920.2999999999993</v>
      </c>
      <c r="H698" s="4">
        <f t="shared" si="321"/>
        <v>52.245851807165401</v>
      </c>
    </row>
    <row r="699" spans="1:8" s="217" customFormat="1" ht="50.25" customHeight="1" x14ac:dyDescent="0.25">
      <c r="A699" s="23" t="s">
        <v>284</v>
      </c>
      <c r="B699" s="24" t="s">
        <v>280</v>
      </c>
      <c r="C699" s="24" t="s">
        <v>231</v>
      </c>
      <c r="D699" s="24" t="s">
        <v>285</v>
      </c>
      <c r="E699" s="24"/>
      <c r="F699" s="4">
        <f>F700+F708+F712+F718+F722</f>
        <v>17073.7</v>
      </c>
      <c r="G699" s="4">
        <f t="shared" ref="G699" si="344">G700+G708+G712+G718+G722</f>
        <v>8920.2999999999993</v>
      </c>
      <c r="H699" s="4">
        <f t="shared" si="321"/>
        <v>52.245851807165401</v>
      </c>
    </row>
    <row r="700" spans="1:8" s="217" customFormat="1" ht="36" customHeight="1" x14ac:dyDescent="0.25">
      <c r="A700" s="23" t="s">
        <v>941</v>
      </c>
      <c r="B700" s="24" t="s">
        <v>280</v>
      </c>
      <c r="C700" s="24" t="s">
        <v>231</v>
      </c>
      <c r="D700" s="24" t="s">
        <v>942</v>
      </c>
      <c r="E700" s="24"/>
      <c r="F700" s="4">
        <f>F701</f>
        <v>15441</v>
      </c>
      <c r="G700" s="4">
        <f t="shared" ref="G700" si="345">G701</f>
        <v>8233.2999999999993</v>
      </c>
      <c r="H700" s="4">
        <f t="shared" si="321"/>
        <v>53.321028430801107</v>
      </c>
    </row>
    <row r="701" spans="1:8" s="217" customFormat="1" ht="15.75" x14ac:dyDescent="0.25">
      <c r="A701" s="25" t="s">
        <v>832</v>
      </c>
      <c r="B701" s="20" t="s">
        <v>280</v>
      </c>
      <c r="C701" s="20" t="s">
        <v>231</v>
      </c>
      <c r="D701" s="20" t="s">
        <v>940</v>
      </c>
      <c r="E701" s="20"/>
      <c r="F701" s="6">
        <f>F702+F704+F706</f>
        <v>15441</v>
      </c>
      <c r="G701" s="6">
        <f t="shared" ref="G701" si="346">G702+G704+G706</f>
        <v>8233.2999999999993</v>
      </c>
      <c r="H701" s="6">
        <f t="shared" si="321"/>
        <v>53.321028430801107</v>
      </c>
    </row>
    <row r="702" spans="1:8" s="217" customFormat="1" ht="78.75" x14ac:dyDescent="0.25">
      <c r="A702" s="25" t="s">
        <v>143</v>
      </c>
      <c r="B702" s="20" t="s">
        <v>280</v>
      </c>
      <c r="C702" s="20" t="s">
        <v>231</v>
      </c>
      <c r="D702" s="20" t="s">
        <v>940</v>
      </c>
      <c r="E702" s="20" t="s">
        <v>144</v>
      </c>
      <c r="F702" s="6">
        <f>F703</f>
        <v>13412.5</v>
      </c>
      <c r="G702" s="6">
        <f t="shared" ref="G702" si="347">G703</f>
        <v>7393.5</v>
      </c>
      <c r="H702" s="6">
        <f t="shared" si="321"/>
        <v>55.123951537744645</v>
      </c>
    </row>
    <row r="703" spans="1:8" s="217" customFormat="1" ht="21.2" customHeight="1" x14ac:dyDescent="0.25">
      <c r="A703" s="46" t="s">
        <v>358</v>
      </c>
      <c r="B703" s="20" t="s">
        <v>280</v>
      </c>
      <c r="C703" s="20" t="s">
        <v>231</v>
      </c>
      <c r="D703" s="20" t="s">
        <v>940</v>
      </c>
      <c r="E703" s="20" t="s">
        <v>225</v>
      </c>
      <c r="F703" s="6">
        <f>'Пр.4 ведом.20'!G281</f>
        <v>13412.5</v>
      </c>
      <c r="G703" s="6">
        <f>'Пр.4 ведом.20'!H281</f>
        <v>7393.5</v>
      </c>
      <c r="H703" s="6">
        <f t="shared" si="321"/>
        <v>55.123951537744645</v>
      </c>
    </row>
    <row r="704" spans="1:8" s="217" customFormat="1" ht="31.5" x14ac:dyDescent="0.25">
      <c r="A704" s="25" t="s">
        <v>147</v>
      </c>
      <c r="B704" s="20" t="s">
        <v>280</v>
      </c>
      <c r="C704" s="20" t="s">
        <v>231</v>
      </c>
      <c r="D704" s="20" t="s">
        <v>940</v>
      </c>
      <c r="E704" s="20" t="s">
        <v>148</v>
      </c>
      <c r="F704" s="6">
        <f>F705</f>
        <v>1950.5</v>
      </c>
      <c r="G704" s="6">
        <f t="shared" ref="G704" si="348">G705</f>
        <v>803.5</v>
      </c>
      <c r="H704" s="6">
        <f t="shared" si="321"/>
        <v>41.194565496026655</v>
      </c>
    </row>
    <row r="705" spans="1:8" s="217" customFormat="1" ht="31.5" x14ac:dyDescent="0.25">
      <c r="A705" s="25" t="s">
        <v>149</v>
      </c>
      <c r="B705" s="20" t="s">
        <v>280</v>
      </c>
      <c r="C705" s="20" t="s">
        <v>231</v>
      </c>
      <c r="D705" s="20" t="s">
        <v>940</v>
      </c>
      <c r="E705" s="20" t="s">
        <v>150</v>
      </c>
      <c r="F705" s="6">
        <f>'Пр.4 ведом.20'!G283</f>
        <v>1950.5</v>
      </c>
      <c r="G705" s="6">
        <f>'Пр.4 ведом.20'!H283</f>
        <v>803.5</v>
      </c>
      <c r="H705" s="6">
        <f t="shared" si="321"/>
        <v>41.194565496026655</v>
      </c>
    </row>
    <row r="706" spans="1:8" s="217" customFormat="1" ht="15.75" x14ac:dyDescent="0.25">
      <c r="A706" s="25" t="s">
        <v>151</v>
      </c>
      <c r="B706" s="20" t="s">
        <v>280</v>
      </c>
      <c r="C706" s="20" t="s">
        <v>231</v>
      </c>
      <c r="D706" s="20" t="s">
        <v>940</v>
      </c>
      <c r="E706" s="20" t="s">
        <v>161</v>
      </c>
      <c r="F706" s="6">
        <f>F707</f>
        <v>78</v>
      </c>
      <c r="G706" s="6">
        <f t="shared" ref="G706" si="349">G707</f>
        <v>36.299999999999997</v>
      </c>
      <c r="H706" s="6">
        <f t="shared" si="321"/>
        <v>46.538461538461533</v>
      </c>
    </row>
    <row r="707" spans="1:8" s="217" customFormat="1" ht="15.75" x14ac:dyDescent="0.25">
      <c r="A707" s="25" t="s">
        <v>727</v>
      </c>
      <c r="B707" s="20" t="s">
        <v>280</v>
      </c>
      <c r="C707" s="20" t="s">
        <v>231</v>
      </c>
      <c r="D707" s="20" t="s">
        <v>940</v>
      </c>
      <c r="E707" s="20" t="s">
        <v>154</v>
      </c>
      <c r="F707" s="6">
        <f>'Пр.4 ведом.20'!G285</f>
        <v>78</v>
      </c>
      <c r="G707" s="6">
        <f>'Пр.4 ведом.20'!H285</f>
        <v>36.299999999999997</v>
      </c>
      <c r="H707" s="6">
        <f t="shared" si="321"/>
        <v>46.538461538461533</v>
      </c>
    </row>
    <row r="708" spans="1:8" s="217" customFormat="1" ht="47.25" x14ac:dyDescent="0.25">
      <c r="A708" s="228" t="s">
        <v>1189</v>
      </c>
      <c r="B708" s="24" t="s">
        <v>280</v>
      </c>
      <c r="C708" s="24" t="s">
        <v>231</v>
      </c>
      <c r="D708" s="24" t="s">
        <v>944</v>
      </c>
      <c r="E708" s="24"/>
      <c r="F708" s="4">
        <f>F709</f>
        <v>45</v>
      </c>
      <c r="G708" s="4">
        <f t="shared" ref="G708:G710" si="350">G709</f>
        <v>14.4</v>
      </c>
      <c r="H708" s="4">
        <f t="shared" si="321"/>
        <v>32</v>
      </c>
    </row>
    <row r="709" spans="1:8" s="217" customFormat="1" ht="31.5" x14ac:dyDescent="0.25">
      <c r="A709" s="209" t="s">
        <v>831</v>
      </c>
      <c r="B709" s="20" t="s">
        <v>280</v>
      </c>
      <c r="C709" s="20" t="s">
        <v>231</v>
      </c>
      <c r="D709" s="20" t="s">
        <v>943</v>
      </c>
      <c r="E709" s="20"/>
      <c r="F709" s="6">
        <f>F710</f>
        <v>45</v>
      </c>
      <c r="G709" s="6">
        <f t="shared" si="350"/>
        <v>14.4</v>
      </c>
      <c r="H709" s="6">
        <f t="shared" si="321"/>
        <v>32</v>
      </c>
    </row>
    <row r="710" spans="1:8" s="217" customFormat="1" ht="20.25" customHeight="1" x14ac:dyDescent="0.25">
      <c r="A710" s="25" t="s">
        <v>264</v>
      </c>
      <c r="B710" s="20" t="s">
        <v>280</v>
      </c>
      <c r="C710" s="20" t="s">
        <v>231</v>
      </c>
      <c r="D710" s="20" t="s">
        <v>943</v>
      </c>
      <c r="E710" s="20" t="s">
        <v>265</v>
      </c>
      <c r="F710" s="6">
        <f>F711</f>
        <v>45</v>
      </c>
      <c r="G710" s="6">
        <f t="shared" si="350"/>
        <v>14.4</v>
      </c>
      <c r="H710" s="6">
        <f t="shared" si="321"/>
        <v>32</v>
      </c>
    </row>
    <row r="711" spans="1:8" s="217" customFormat="1" ht="15.75" x14ac:dyDescent="0.25">
      <c r="A711" s="25" t="s">
        <v>865</v>
      </c>
      <c r="B711" s="20" t="s">
        <v>280</v>
      </c>
      <c r="C711" s="20" t="s">
        <v>231</v>
      </c>
      <c r="D711" s="20" t="s">
        <v>943</v>
      </c>
      <c r="E711" s="20" t="s">
        <v>864</v>
      </c>
      <c r="F711" s="6">
        <f>'Пр.4 ведом.20'!G289</f>
        <v>45</v>
      </c>
      <c r="G711" s="6">
        <f>'Пр.4 ведом.20'!H289</f>
        <v>14.4</v>
      </c>
      <c r="H711" s="6">
        <f t="shared" si="321"/>
        <v>32</v>
      </c>
    </row>
    <row r="712" spans="1:8" ht="47.25" x14ac:dyDescent="0.25">
      <c r="A712" s="233" t="s">
        <v>1168</v>
      </c>
      <c r="B712" s="24" t="s">
        <v>280</v>
      </c>
      <c r="C712" s="24" t="s">
        <v>231</v>
      </c>
      <c r="D712" s="24" t="s">
        <v>945</v>
      </c>
      <c r="E712" s="24"/>
      <c r="F712" s="4">
        <f>F713</f>
        <v>250.00000000000003</v>
      </c>
      <c r="G712" s="4">
        <f t="shared" ref="G712" si="351">G713</f>
        <v>66.900000000000006</v>
      </c>
      <c r="H712" s="4">
        <f t="shared" si="321"/>
        <v>26.76</v>
      </c>
    </row>
    <row r="713" spans="1:8" ht="31.5" x14ac:dyDescent="0.25">
      <c r="A713" s="31" t="s">
        <v>860</v>
      </c>
      <c r="B713" s="20" t="s">
        <v>280</v>
      </c>
      <c r="C713" s="20" t="s">
        <v>231</v>
      </c>
      <c r="D713" s="20" t="s">
        <v>946</v>
      </c>
      <c r="E713" s="20"/>
      <c r="F713" s="6">
        <f>F714+F716</f>
        <v>250.00000000000003</v>
      </c>
      <c r="G713" s="6">
        <f t="shared" ref="G713" si="352">G714+G716</f>
        <v>66.900000000000006</v>
      </c>
      <c r="H713" s="6">
        <f t="shared" si="321"/>
        <v>26.76</v>
      </c>
    </row>
    <row r="714" spans="1:8" ht="78.75" x14ac:dyDescent="0.25">
      <c r="A714" s="25" t="s">
        <v>143</v>
      </c>
      <c r="B714" s="20" t="s">
        <v>280</v>
      </c>
      <c r="C714" s="20" t="s">
        <v>231</v>
      </c>
      <c r="D714" s="20" t="s">
        <v>946</v>
      </c>
      <c r="E714" s="20" t="s">
        <v>144</v>
      </c>
      <c r="F714" s="6">
        <f>F715</f>
        <v>250.00000000000003</v>
      </c>
      <c r="G714" s="6">
        <f t="shared" ref="G714" si="353">G715</f>
        <v>66.900000000000006</v>
      </c>
      <c r="H714" s="6">
        <f t="shared" si="321"/>
        <v>26.76</v>
      </c>
    </row>
    <row r="715" spans="1:8" s="217" customFormat="1" ht="18.75" customHeight="1" x14ac:dyDescent="0.25">
      <c r="A715" s="46" t="s">
        <v>358</v>
      </c>
      <c r="B715" s="20" t="s">
        <v>280</v>
      </c>
      <c r="C715" s="20" t="s">
        <v>231</v>
      </c>
      <c r="D715" s="20" t="s">
        <v>946</v>
      </c>
      <c r="E715" s="20" t="s">
        <v>225</v>
      </c>
      <c r="F715" s="6">
        <f>'Пр.4 ведом.20'!G293</f>
        <v>250.00000000000003</v>
      </c>
      <c r="G715" s="6">
        <f>'Пр.4 ведом.20'!H293</f>
        <v>66.900000000000006</v>
      </c>
      <c r="H715" s="6">
        <f t="shared" ref="H715:H778" si="354">G715/F715*100</f>
        <v>26.76</v>
      </c>
    </row>
    <row r="716" spans="1:8" s="217" customFormat="1" ht="31.5" x14ac:dyDescent="0.25">
      <c r="A716" s="25" t="s">
        <v>147</v>
      </c>
      <c r="B716" s="20" t="s">
        <v>280</v>
      </c>
      <c r="C716" s="20" t="s">
        <v>231</v>
      </c>
      <c r="D716" s="20" t="s">
        <v>946</v>
      </c>
      <c r="E716" s="20" t="s">
        <v>148</v>
      </c>
      <c r="F716" s="6">
        <f>F717</f>
        <v>0</v>
      </c>
      <c r="G716" s="6">
        <f t="shared" ref="G716" si="355">G717</f>
        <v>0</v>
      </c>
      <c r="H716" s="6" t="e">
        <f t="shared" si="354"/>
        <v>#DIV/0!</v>
      </c>
    </row>
    <row r="717" spans="1:8" s="217" customFormat="1" ht="31.5" x14ac:dyDescent="0.25">
      <c r="A717" s="25" t="s">
        <v>149</v>
      </c>
      <c r="B717" s="20" t="s">
        <v>280</v>
      </c>
      <c r="C717" s="20" t="s">
        <v>231</v>
      </c>
      <c r="D717" s="20" t="s">
        <v>946</v>
      </c>
      <c r="E717" s="20" t="s">
        <v>150</v>
      </c>
      <c r="F717" s="6">
        <f>'Пр.4 ведом.20'!G295</f>
        <v>0</v>
      </c>
      <c r="G717" s="6">
        <f>'Пр.4 ведом.20'!H295</f>
        <v>0</v>
      </c>
      <c r="H717" s="6" t="e">
        <f t="shared" si="354"/>
        <v>#DIV/0!</v>
      </c>
    </row>
    <row r="718" spans="1:8" s="217" customFormat="1" ht="31.5" x14ac:dyDescent="0.25">
      <c r="A718" s="23" t="s">
        <v>1076</v>
      </c>
      <c r="B718" s="24" t="s">
        <v>280</v>
      </c>
      <c r="C718" s="24" t="s">
        <v>231</v>
      </c>
      <c r="D718" s="24" t="s">
        <v>951</v>
      </c>
      <c r="E718" s="24"/>
      <c r="F718" s="4">
        <f>F719</f>
        <v>336</v>
      </c>
      <c r="G718" s="4">
        <f t="shared" ref="G718:G720" si="356">G719</f>
        <v>211.2</v>
      </c>
      <c r="H718" s="4">
        <f t="shared" si="354"/>
        <v>62.857142857142854</v>
      </c>
    </row>
    <row r="719" spans="1:8" s="217" customFormat="1" ht="47.25" x14ac:dyDescent="0.25">
      <c r="A719" s="25" t="s">
        <v>885</v>
      </c>
      <c r="B719" s="20" t="s">
        <v>280</v>
      </c>
      <c r="C719" s="20" t="s">
        <v>231</v>
      </c>
      <c r="D719" s="20" t="s">
        <v>1263</v>
      </c>
      <c r="E719" s="20"/>
      <c r="F719" s="6">
        <f>F720</f>
        <v>336</v>
      </c>
      <c r="G719" s="6">
        <f t="shared" si="356"/>
        <v>211.2</v>
      </c>
      <c r="H719" s="6">
        <f t="shared" si="354"/>
        <v>62.857142857142854</v>
      </c>
    </row>
    <row r="720" spans="1:8" s="217" customFormat="1" ht="78.75" x14ac:dyDescent="0.25">
      <c r="A720" s="25" t="s">
        <v>143</v>
      </c>
      <c r="B720" s="20" t="s">
        <v>280</v>
      </c>
      <c r="C720" s="20" t="s">
        <v>231</v>
      </c>
      <c r="D720" s="20" t="s">
        <v>1263</v>
      </c>
      <c r="E720" s="20" t="s">
        <v>144</v>
      </c>
      <c r="F720" s="6">
        <f>F721</f>
        <v>336</v>
      </c>
      <c r="G720" s="6">
        <f t="shared" si="356"/>
        <v>211.2</v>
      </c>
      <c r="H720" s="6">
        <f t="shared" si="354"/>
        <v>62.857142857142854</v>
      </c>
    </row>
    <row r="721" spans="1:8" s="217" customFormat="1" ht="31.5" x14ac:dyDescent="0.25">
      <c r="A721" s="25" t="s">
        <v>145</v>
      </c>
      <c r="B721" s="20" t="s">
        <v>280</v>
      </c>
      <c r="C721" s="20" t="s">
        <v>231</v>
      </c>
      <c r="D721" s="20" t="s">
        <v>1263</v>
      </c>
      <c r="E721" s="20" t="s">
        <v>225</v>
      </c>
      <c r="F721" s="6">
        <f>'Пр.4 ведом.20'!G299</f>
        <v>336</v>
      </c>
      <c r="G721" s="6">
        <f>'Пр.4 ведом.20'!H299</f>
        <v>211.2</v>
      </c>
      <c r="H721" s="6">
        <f t="shared" si="354"/>
        <v>62.857142857142854</v>
      </c>
    </row>
    <row r="722" spans="1:8" s="217" customFormat="1" ht="47.25" x14ac:dyDescent="0.25">
      <c r="A722" s="23" t="s">
        <v>971</v>
      </c>
      <c r="B722" s="24" t="s">
        <v>280</v>
      </c>
      <c r="C722" s="24" t="s">
        <v>231</v>
      </c>
      <c r="D722" s="24" t="s">
        <v>1264</v>
      </c>
      <c r="E722" s="24"/>
      <c r="F722" s="4">
        <f>F726+F729+F732+F723</f>
        <v>1001.7</v>
      </c>
      <c r="G722" s="4">
        <f t="shared" ref="G722" si="357">G726+G729+G732+G723</f>
        <v>394.50000000000006</v>
      </c>
      <c r="H722" s="4">
        <f t="shared" si="354"/>
        <v>39.383048817011087</v>
      </c>
    </row>
    <row r="723" spans="1:8" s="331" customFormat="1" ht="94.5" x14ac:dyDescent="0.25">
      <c r="A723" s="31" t="s">
        <v>309</v>
      </c>
      <c r="B723" s="338" t="s">
        <v>280</v>
      </c>
      <c r="C723" s="338" t="s">
        <v>231</v>
      </c>
      <c r="D723" s="338" t="s">
        <v>1520</v>
      </c>
      <c r="E723" s="338"/>
      <c r="F723" s="6">
        <f>F724</f>
        <v>422.5</v>
      </c>
      <c r="G723" s="6">
        <f t="shared" ref="G723:G724" si="358">G724</f>
        <v>59.8</v>
      </c>
      <c r="H723" s="6">
        <f t="shared" si="354"/>
        <v>14.153846153846153</v>
      </c>
    </row>
    <row r="724" spans="1:8" s="331" customFormat="1" ht="78.75" x14ac:dyDescent="0.25">
      <c r="A724" s="342" t="s">
        <v>143</v>
      </c>
      <c r="B724" s="338" t="s">
        <v>280</v>
      </c>
      <c r="C724" s="338" t="s">
        <v>231</v>
      </c>
      <c r="D724" s="338" t="s">
        <v>1520</v>
      </c>
      <c r="E724" s="338" t="s">
        <v>144</v>
      </c>
      <c r="F724" s="6">
        <f>F725</f>
        <v>422.5</v>
      </c>
      <c r="G724" s="6">
        <f t="shared" si="358"/>
        <v>59.8</v>
      </c>
      <c r="H724" s="6">
        <f t="shared" si="354"/>
        <v>14.153846153846153</v>
      </c>
    </row>
    <row r="725" spans="1:8" s="331" customFormat="1" ht="31.5" x14ac:dyDescent="0.25">
      <c r="A725" s="46" t="s">
        <v>358</v>
      </c>
      <c r="B725" s="338" t="s">
        <v>280</v>
      </c>
      <c r="C725" s="338" t="s">
        <v>231</v>
      </c>
      <c r="D725" s="338" t="s">
        <v>1520</v>
      </c>
      <c r="E725" s="338" t="s">
        <v>225</v>
      </c>
      <c r="F725" s="6">
        <f>'Пр.4 ведом.20'!G303</f>
        <v>422.5</v>
      </c>
      <c r="G725" s="6">
        <f>'Пр.4 ведом.20'!H303</f>
        <v>59.8</v>
      </c>
      <c r="H725" s="6">
        <f t="shared" si="354"/>
        <v>14.153846153846153</v>
      </c>
    </row>
    <row r="726" spans="1:8" s="217" customFormat="1" ht="63" x14ac:dyDescent="0.25">
      <c r="A726" s="31" t="s">
        <v>305</v>
      </c>
      <c r="B726" s="20" t="s">
        <v>280</v>
      </c>
      <c r="C726" s="20" t="s">
        <v>231</v>
      </c>
      <c r="D726" s="20" t="s">
        <v>1265</v>
      </c>
      <c r="E726" s="20"/>
      <c r="F726" s="6">
        <f>F727</f>
        <v>100.8</v>
      </c>
      <c r="G726" s="6">
        <f t="shared" ref="G726:G727" si="359">G727</f>
        <v>42.7</v>
      </c>
      <c r="H726" s="6">
        <f t="shared" si="354"/>
        <v>42.361111111111114</v>
      </c>
    </row>
    <row r="727" spans="1:8" s="217" customFormat="1" ht="78.75" x14ac:dyDescent="0.25">
      <c r="A727" s="25" t="s">
        <v>143</v>
      </c>
      <c r="B727" s="20" t="s">
        <v>280</v>
      </c>
      <c r="C727" s="20" t="s">
        <v>231</v>
      </c>
      <c r="D727" s="20" t="s">
        <v>1265</v>
      </c>
      <c r="E727" s="20" t="s">
        <v>144</v>
      </c>
      <c r="F727" s="6">
        <f>F728</f>
        <v>100.8</v>
      </c>
      <c r="G727" s="6">
        <f t="shared" si="359"/>
        <v>42.7</v>
      </c>
      <c r="H727" s="6">
        <f t="shared" si="354"/>
        <v>42.361111111111114</v>
      </c>
    </row>
    <row r="728" spans="1:8" s="217" customFormat="1" ht="21.2" customHeight="1" x14ac:dyDescent="0.25">
      <c r="A728" s="46" t="s">
        <v>358</v>
      </c>
      <c r="B728" s="20" t="s">
        <v>280</v>
      </c>
      <c r="C728" s="20" t="s">
        <v>231</v>
      </c>
      <c r="D728" s="20" t="s">
        <v>1265</v>
      </c>
      <c r="E728" s="20" t="s">
        <v>225</v>
      </c>
      <c r="F728" s="6">
        <f>'Пр.4 ведом.20'!G306</f>
        <v>100.8</v>
      </c>
      <c r="G728" s="6">
        <f>'Пр.4 ведом.20'!H306</f>
        <v>42.7</v>
      </c>
      <c r="H728" s="6">
        <f t="shared" si="354"/>
        <v>42.361111111111114</v>
      </c>
    </row>
    <row r="729" spans="1:8" s="217" customFormat="1" ht="63" x14ac:dyDescent="0.25">
      <c r="A729" s="31" t="s">
        <v>307</v>
      </c>
      <c r="B729" s="20" t="s">
        <v>280</v>
      </c>
      <c r="C729" s="20" t="s">
        <v>231</v>
      </c>
      <c r="D729" s="20" t="s">
        <v>1266</v>
      </c>
      <c r="E729" s="20"/>
      <c r="F729" s="6">
        <f>F730</f>
        <v>298.40000000000003</v>
      </c>
      <c r="G729" s="6">
        <f t="shared" ref="G729:G730" si="360">G730</f>
        <v>128.9</v>
      </c>
      <c r="H729" s="6">
        <f t="shared" si="354"/>
        <v>43.197050938337803</v>
      </c>
    </row>
    <row r="730" spans="1:8" s="217" customFormat="1" ht="78.75" x14ac:dyDescent="0.25">
      <c r="A730" s="25" t="s">
        <v>143</v>
      </c>
      <c r="B730" s="20" t="s">
        <v>280</v>
      </c>
      <c r="C730" s="20" t="s">
        <v>231</v>
      </c>
      <c r="D730" s="20" t="s">
        <v>1266</v>
      </c>
      <c r="E730" s="20" t="s">
        <v>144</v>
      </c>
      <c r="F730" s="6">
        <f>F731</f>
        <v>298.40000000000003</v>
      </c>
      <c r="G730" s="6">
        <f t="shared" si="360"/>
        <v>128.9</v>
      </c>
      <c r="H730" s="6">
        <f t="shared" si="354"/>
        <v>43.197050938337803</v>
      </c>
    </row>
    <row r="731" spans="1:8" s="217" customFormat="1" ht="21.2" customHeight="1" x14ac:dyDescent="0.25">
      <c r="A731" s="46" t="s">
        <v>358</v>
      </c>
      <c r="B731" s="20" t="s">
        <v>280</v>
      </c>
      <c r="C731" s="20" t="s">
        <v>231</v>
      </c>
      <c r="D731" s="20" t="s">
        <v>1266</v>
      </c>
      <c r="E731" s="20" t="s">
        <v>225</v>
      </c>
      <c r="F731" s="6">
        <f>'Пр.4 ведом.20'!G309</f>
        <v>298.40000000000003</v>
      </c>
      <c r="G731" s="6">
        <f>'Пр.4 ведом.20'!H309</f>
        <v>128.9</v>
      </c>
      <c r="H731" s="6">
        <f t="shared" si="354"/>
        <v>43.197050938337803</v>
      </c>
    </row>
    <row r="732" spans="1:8" s="217" customFormat="1" ht="94.5" x14ac:dyDescent="0.25">
      <c r="A732" s="31" t="s">
        <v>309</v>
      </c>
      <c r="B732" s="20" t="s">
        <v>280</v>
      </c>
      <c r="C732" s="20" t="s">
        <v>231</v>
      </c>
      <c r="D732" s="20" t="s">
        <v>1267</v>
      </c>
      <c r="E732" s="20"/>
      <c r="F732" s="6">
        <f>F733</f>
        <v>180</v>
      </c>
      <c r="G732" s="6">
        <f t="shared" ref="G732:G733" si="361">G733</f>
        <v>163.1</v>
      </c>
      <c r="H732" s="6">
        <f t="shared" si="354"/>
        <v>90.611111111111114</v>
      </c>
    </row>
    <row r="733" spans="1:8" s="217" customFormat="1" ht="78.75" x14ac:dyDescent="0.25">
      <c r="A733" s="25" t="s">
        <v>143</v>
      </c>
      <c r="B733" s="20" t="s">
        <v>280</v>
      </c>
      <c r="C733" s="20" t="s">
        <v>231</v>
      </c>
      <c r="D733" s="20" t="s">
        <v>1267</v>
      </c>
      <c r="E733" s="20" t="s">
        <v>144</v>
      </c>
      <c r="F733" s="6">
        <f>F734</f>
        <v>180</v>
      </c>
      <c r="G733" s="6">
        <f t="shared" si="361"/>
        <v>163.1</v>
      </c>
      <c r="H733" s="6">
        <f t="shared" si="354"/>
        <v>90.611111111111114</v>
      </c>
    </row>
    <row r="734" spans="1:8" s="217" customFormat="1" ht="20.25" customHeight="1" x14ac:dyDescent="0.25">
      <c r="A734" s="46" t="s">
        <v>358</v>
      </c>
      <c r="B734" s="20" t="s">
        <v>280</v>
      </c>
      <c r="C734" s="20" t="s">
        <v>231</v>
      </c>
      <c r="D734" s="20" t="s">
        <v>1267</v>
      </c>
      <c r="E734" s="20" t="s">
        <v>225</v>
      </c>
      <c r="F734" s="6">
        <f>'Пр.4 ведом.20'!G312</f>
        <v>180</v>
      </c>
      <c r="G734" s="6">
        <f>'Пр.4 ведом.20'!H312</f>
        <v>163.1</v>
      </c>
      <c r="H734" s="6">
        <f t="shared" si="354"/>
        <v>90.611111111111114</v>
      </c>
    </row>
    <row r="735" spans="1:8" s="217" customFormat="1" ht="63" x14ac:dyDescent="0.25">
      <c r="A735" s="41" t="s">
        <v>730</v>
      </c>
      <c r="B735" s="24" t="s">
        <v>280</v>
      </c>
      <c r="C735" s="24" t="s">
        <v>231</v>
      </c>
      <c r="D735" s="24" t="s">
        <v>728</v>
      </c>
      <c r="E735" s="24"/>
      <c r="F735" s="4">
        <f>F736</f>
        <v>628.09999999999991</v>
      </c>
      <c r="G735" s="4">
        <f t="shared" ref="G735" si="362">G736</f>
        <v>279.70000000000005</v>
      </c>
      <c r="H735" s="4">
        <f t="shared" si="354"/>
        <v>44.531125616939995</v>
      </c>
    </row>
    <row r="736" spans="1:8" s="217" customFormat="1" ht="47.25" x14ac:dyDescent="0.25">
      <c r="A736" s="41" t="s">
        <v>949</v>
      </c>
      <c r="B736" s="24" t="s">
        <v>280</v>
      </c>
      <c r="C736" s="24" t="s">
        <v>231</v>
      </c>
      <c r="D736" s="24" t="s">
        <v>947</v>
      </c>
      <c r="E736" s="24"/>
      <c r="F736" s="4">
        <f>F737+F740</f>
        <v>628.09999999999991</v>
      </c>
      <c r="G736" s="4">
        <f t="shared" ref="G736" si="363">G737+G740</f>
        <v>279.70000000000005</v>
      </c>
      <c r="H736" s="4">
        <f t="shared" si="354"/>
        <v>44.531125616939995</v>
      </c>
    </row>
    <row r="737" spans="1:8" s="217" customFormat="1" ht="35.450000000000003" customHeight="1" x14ac:dyDescent="0.25">
      <c r="A737" s="99" t="s">
        <v>1157</v>
      </c>
      <c r="B737" s="20" t="s">
        <v>280</v>
      </c>
      <c r="C737" s="20" t="s">
        <v>231</v>
      </c>
      <c r="D737" s="20" t="s">
        <v>948</v>
      </c>
      <c r="E737" s="32"/>
      <c r="F737" s="6">
        <f>F738</f>
        <v>327.39999999999998</v>
      </c>
      <c r="G737" s="6">
        <f t="shared" ref="G737:G738" si="364">G738</f>
        <v>130.30000000000001</v>
      </c>
      <c r="H737" s="6">
        <f t="shared" si="354"/>
        <v>39.798411728772152</v>
      </c>
    </row>
    <row r="738" spans="1:8" s="217" customFormat="1" ht="31.5" x14ac:dyDescent="0.25">
      <c r="A738" s="25" t="s">
        <v>147</v>
      </c>
      <c r="B738" s="20" t="s">
        <v>280</v>
      </c>
      <c r="C738" s="20" t="s">
        <v>231</v>
      </c>
      <c r="D738" s="20" t="s">
        <v>948</v>
      </c>
      <c r="E738" s="32" t="s">
        <v>148</v>
      </c>
      <c r="F738" s="6">
        <f>F739</f>
        <v>327.39999999999998</v>
      </c>
      <c r="G738" s="6">
        <f t="shared" si="364"/>
        <v>130.30000000000001</v>
      </c>
      <c r="H738" s="6">
        <f t="shared" si="354"/>
        <v>39.798411728772152</v>
      </c>
    </row>
    <row r="739" spans="1:8" s="217" customFormat="1" ht="36.75" customHeight="1" x14ac:dyDescent="0.25">
      <c r="A739" s="25" t="s">
        <v>149</v>
      </c>
      <c r="B739" s="20" t="s">
        <v>280</v>
      </c>
      <c r="C739" s="20" t="s">
        <v>231</v>
      </c>
      <c r="D739" s="20" t="s">
        <v>948</v>
      </c>
      <c r="E739" s="32" t="s">
        <v>150</v>
      </c>
      <c r="F739" s="6">
        <f>'Пр.4 ведом.20'!G317</f>
        <v>327.39999999999998</v>
      </c>
      <c r="G739" s="6">
        <f>'Пр.4 ведом.20'!H317</f>
        <v>130.30000000000001</v>
      </c>
      <c r="H739" s="6">
        <f t="shared" si="354"/>
        <v>39.798411728772152</v>
      </c>
    </row>
    <row r="740" spans="1:8" s="217" customFormat="1" ht="47.25" x14ac:dyDescent="0.25">
      <c r="A740" s="99" t="s">
        <v>803</v>
      </c>
      <c r="B740" s="20" t="s">
        <v>280</v>
      </c>
      <c r="C740" s="20" t="s">
        <v>231</v>
      </c>
      <c r="D740" s="20" t="s">
        <v>1027</v>
      </c>
      <c r="E740" s="32"/>
      <c r="F740" s="6">
        <f>F741</f>
        <v>300.7</v>
      </c>
      <c r="G740" s="6">
        <f t="shared" ref="G740:G741" si="365">G741</f>
        <v>149.4</v>
      </c>
      <c r="H740" s="6">
        <f t="shared" si="354"/>
        <v>49.684070502161624</v>
      </c>
    </row>
    <row r="741" spans="1:8" s="217" customFormat="1" ht="31.5" x14ac:dyDescent="0.25">
      <c r="A741" s="29" t="s">
        <v>288</v>
      </c>
      <c r="B741" s="20" t="s">
        <v>280</v>
      </c>
      <c r="C741" s="20" t="s">
        <v>231</v>
      </c>
      <c r="D741" s="20" t="s">
        <v>1027</v>
      </c>
      <c r="E741" s="32" t="s">
        <v>289</v>
      </c>
      <c r="F741" s="6">
        <f>F742</f>
        <v>300.7</v>
      </c>
      <c r="G741" s="6">
        <f t="shared" si="365"/>
        <v>149.4</v>
      </c>
      <c r="H741" s="6">
        <f t="shared" si="354"/>
        <v>49.684070502161624</v>
      </c>
    </row>
    <row r="742" spans="1:8" s="217" customFormat="1" ht="15.75" x14ac:dyDescent="0.25">
      <c r="A742" s="192" t="s">
        <v>290</v>
      </c>
      <c r="B742" s="20" t="s">
        <v>280</v>
      </c>
      <c r="C742" s="20" t="s">
        <v>231</v>
      </c>
      <c r="D742" s="20" t="s">
        <v>1027</v>
      </c>
      <c r="E742" s="32" t="s">
        <v>291</v>
      </c>
      <c r="F742" s="6">
        <f>'Пр.4 ведом.20'!G751</f>
        <v>300.7</v>
      </c>
      <c r="G742" s="6">
        <f>'Пр.4 ведом.20'!H751</f>
        <v>149.4</v>
      </c>
      <c r="H742" s="6">
        <f t="shared" si="354"/>
        <v>49.684070502161624</v>
      </c>
    </row>
    <row r="743" spans="1:8" s="217" customFormat="1" ht="15.75" x14ac:dyDescent="0.25">
      <c r="A743" s="23" t="s">
        <v>482</v>
      </c>
      <c r="B743" s="24" t="s">
        <v>280</v>
      </c>
      <c r="C743" s="24" t="s">
        <v>280</v>
      </c>
      <c r="D743" s="24"/>
      <c r="E743" s="235"/>
      <c r="F743" s="4">
        <f>F744+F763</f>
        <v>6564.9</v>
      </c>
      <c r="G743" s="4">
        <f t="shared" ref="G743" si="366">G744+G763</f>
        <v>2531.8999999999996</v>
      </c>
      <c r="H743" s="4">
        <f t="shared" si="354"/>
        <v>38.567228746820206</v>
      </c>
    </row>
    <row r="744" spans="1:8" s="217" customFormat="1" ht="47.25" x14ac:dyDescent="0.25">
      <c r="A744" s="23" t="s">
        <v>359</v>
      </c>
      <c r="B744" s="24" t="s">
        <v>280</v>
      </c>
      <c r="C744" s="24" t="s">
        <v>280</v>
      </c>
      <c r="D744" s="24" t="s">
        <v>360</v>
      </c>
      <c r="E744" s="24"/>
      <c r="F744" s="4">
        <f>F745</f>
        <v>760</v>
      </c>
      <c r="G744" s="4">
        <f t="shared" ref="G744" si="367">G745</f>
        <v>142.69999999999999</v>
      </c>
      <c r="H744" s="4">
        <f t="shared" si="354"/>
        <v>18.776315789473681</v>
      </c>
    </row>
    <row r="745" spans="1:8" s="217" customFormat="1" ht="31.5" x14ac:dyDescent="0.25">
      <c r="A745" s="23" t="s">
        <v>361</v>
      </c>
      <c r="B745" s="24" t="s">
        <v>280</v>
      </c>
      <c r="C745" s="24" t="s">
        <v>280</v>
      </c>
      <c r="D745" s="24" t="s">
        <v>362</v>
      </c>
      <c r="E745" s="24"/>
      <c r="F745" s="4">
        <f>F746+F753+F759</f>
        <v>760</v>
      </c>
      <c r="G745" s="4">
        <f t="shared" ref="G745" si="368">G746+G753+G759</f>
        <v>142.69999999999999</v>
      </c>
      <c r="H745" s="4">
        <f t="shared" si="354"/>
        <v>18.776315789473681</v>
      </c>
    </row>
    <row r="746" spans="1:8" s="217" customFormat="1" ht="47.25" x14ac:dyDescent="0.25">
      <c r="A746" s="223" t="s">
        <v>1196</v>
      </c>
      <c r="B746" s="24" t="s">
        <v>280</v>
      </c>
      <c r="C746" s="24" t="s">
        <v>280</v>
      </c>
      <c r="D746" s="24" t="s">
        <v>952</v>
      </c>
      <c r="E746" s="24"/>
      <c r="F746" s="4">
        <f>F747+F750</f>
        <v>280</v>
      </c>
      <c r="G746" s="4">
        <f t="shared" ref="G746" si="369">G747+G750</f>
        <v>0</v>
      </c>
      <c r="H746" s="4">
        <f t="shared" si="354"/>
        <v>0</v>
      </c>
    </row>
    <row r="747" spans="1:8" s="217" customFormat="1" ht="31.5" x14ac:dyDescent="0.25">
      <c r="A747" s="99" t="s">
        <v>1202</v>
      </c>
      <c r="B747" s="20" t="s">
        <v>280</v>
      </c>
      <c r="C747" s="20" t="s">
        <v>280</v>
      </c>
      <c r="D747" s="20" t="s">
        <v>953</v>
      </c>
      <c r="E747" s="20"/>
      <c r="F747" s="6">
        <f>F748</f>
        <v>280</v>
      </c>
      <c r="G747" s="6">
        <f t="shared" ref="G747:G748" si="370">G748</f>
        <v>0</v>
      </c>
      <c r="H747" s="6">
        <f t="shared" si="354"/>
        <v>0</v>
      </c>
    </row>
    <row r="748" spans="1:8" s="217" customFormat="1" ht="78.75" x14ac:dyDescent="0.25">
      <c r="A748" s="25" t="s">
        <v>143</v>
      </c>
      <c r="B748" s="20" t="s">
        <v>280</v>
      </c>
      <c r="C748" s="20" t="s">
        <v>280</v>
      </c>
      <c r="D748" s="20" t="s">
        <v>953</v>
      </c>
      <c r="E748" s="20" t="s">
        <v>144</v>
      </c>
      <c r="F748" s="6">
        <f>F749</f>
        <v>280</v>
      </c>
      <c r="G748" s="6">
        <f t="shared" si="370"/>
        <v>0</v>
      </c>
      <c r="H748" s="6">
        <f t="shared" si="354"/>
        <v>0</v>
      </c>
    </row>
    <row r="749" spans="1:8" s="217" customFormat="1" ht="17.45" customHeight="1" x14ac:dyDescent="0.25">
      <c r="A749" s="25" t="s">
        <v>358</v>
      </c>
      <c r="B749" s="20" t="s">
        <v>280</v>
      </c>
      <c r="C749" s="20" t="s">
        <v>280</v>
      </c>
      <c r="D749" s="20" t="s">
        <v>953</v>
      </c>
      <c r="E749" s="20" t="s">
        <v>225</v>
      </c>
      <c r="F749" s="6">
        <f>'Пр.4 ведом.20'!G324</f>
        <v>280</v>
      </c>
      <c r="G749" s="6">
        <f>'Пр.4 ведом.20'!H324</f>
        <v>0</v>
      </c>
      <c r="H749" s="6">
        <f t="shared" si="354"/>
        <v>0</v>
      </c>
    </row>
    <row r="750" spans="1:8" s="217" customFormat="1" ht="19.5" hidden="1" customHeight="1" x14ac:dyDescent="0.25">
      <c r="A750" s="25" t="s">
        <v>1197</v>
      </c>
      <c r="B750" s="20" t="s">
        <v>280</v>
      </c>
      <c r="C750" s="20" t="s">
        <v>280</v>
      </c>
      <c r="D750" s="20" t="s">
        <v>1221</v>
      </c>
      <c r="E750" s="20"/>
      <c r="F750" s="6">
        <f>F751</f>
        <v>0</v>
      </c>
      <c r="G750" s="6">
        <f t="shared" ref="G750:G751" si="371">G751</f>
        <v>0</v>
      </c>
      <c r="H750" s="6" t="e">
        <f t="shared" si="354"/>
        <v>#DIV/0!</v>
      </c>
    </row>
    <row r="751" spans="1:8" s="217" customFormat="1" ht="31.5" hidden="1" x14ac:dyDescent="0.25">
      <c r="A751" s="25" t="s">
        <v>147</v>
      </c>
      <c r="B751" s="20" t="s">
        <v>280</v>
      </c>
      <c r="C751" s="20" t="s">
        <v>280</v>
      </c>
      <c r="D751" s="20" t="s">
        <v>1221</v>
      </c>
      <c r="E751" s="20" t="s">
        <v>148</v>
      </c>
      <c r="F751" s="6">
        <f>F752</f>
        <v>0</v>
      </c>
      <c r="G751" s="6">
        <f t="shared" si="371"/>
        <v>0</v>
      </c>
      <c r="H751" s="6" t="e">
        <f t="shared" si="354"/>
        <v>#DIV/0!</v>
      </c>
    </row>
    <row r="752" spans="1:8" s="217" customFormat="1" ht="31.5" hidden="1" x14ac:dyDescent="0.25">
      <c r="A752" s="25" t="s">
        <v>149</v>
      </c>
      <c r="B752" s="20" t="s">
        <v>280</v>
      </c>
      <c r="C752" s="20" t="s">
        <v>280</v>
      </c>
      <c r="D752" s="20" t="s">
        <v>1221</v>
      </c>
      <c r="E752" s="20" t="s">
        <v>150</v>
      </c>
      <c r="F752" s="6">
        <f>'Пр.4 ведом.20'!G327</f>
        <v>0</v>
      </c>
      <c r="G752" s="6">
        <f>'Пр.4 ведом.20'!H327</f>
        <v>0</v>
      </c>
      <c r="H752" s="6" t="e">
        <f t="shared" si="354"/>
        <v>#DIV/0!</v>
      </c>
    </row>
    <row r="753" spans="1:8" s="217" customFormat="1" ht="63" x14ac:dyDescent="0.25">
      <c r="A753" s="23" t="s">
        <v>1198</v>
      </c>
      <c r="B753" s="24" t="s">
        <v>280</v>
      </c>
      <c r="C753" s="24" t="s">
        <v>280</v>
      </c>
      <c r="D753" s="24" t="s">
        <v>954</v>
      </c>
      <c r="E753" s="24"/>
      <c r="F753" s="4">
        <f>F754</f>
        <v>455</v>
      </c>
      <c r="G753" s="4">
        <f t="shared" ref="G753" si="372">G754</f>
        <v>142.69999999999999</v>
      </c>
      <c r="H753" s="4">
        <f t="shared" si="354"/>
        <v>31.362637362637358</v>
      </c>
    </row>
    <row r="754" spans="1:8" s="217" customFormat="1" ht="15.75" x14ac:dyDescent="0.25">
      <c r="A754" s="25" t="s">
        <v>1199</v>
      </c>
      <c r="B754" s="20" t="s">
        <v>280</v>
      </c>
      <c r="C754" s="20" t="s">
        <v>280</v>
      </c>
      <c r="D754" s="20" t="s">
        <v>972</v>
      </c>
      <c r="E754" s="20"/>
      <c r="F754" s="6">
        <f>F755+F757</f>
        <v>455</v>
      </c>
      <c r="G754" s="6">
        <f t="shared" ref="G754" si="373">G755+G757</f>
        <v>142.69999999999999</v>
      </c>
      <c r="H754" s="6">
        <f t="shared" si="354"/>
        <v>31.362637362637358</v>
      </c>
    </row>
    <row r="755" spans="1:8" s="217" customFormat="1" ht="78.75" x14ac:dyDescent="0.25">
      <c r="A755" s="25" t="s">
        <v>143</v>
      </c>
      <c r="B755" s="20" t="s">
        <v>280</v>
      </c>
      <c r="C755" s="20" t="s">
        <v>280</v>
      </c>
      <c r="D755" s="20" t="s">
        <v>972</v>
      </c>
      <c r="E755" s="20" t="s">
        <v>144</v>
      </c>
      <c r="F755" s="6">
        <f>F756</f>
        <v>40</v>
      </c>
      <c r="G755" s="6">
        <f t="shared" ref="G755" si="374">G756</f>
        <v>0</v>
      </c>
      <c r="H755" s="6">
        <f t="shared" si="354"/>
        <v>0</v>
      </c>
    </row>
    <row r="756" spans="1:8" s="217" customFormat="1" ht="18.75" customHeight="1" x14ac:dyDescent="0.25">
      <c r="A756" s="25" t="s">
        <v>358</v>
      </c>
      <c r="B756" s="20" t="s">
        <v>280</v>
      </c>
      <c r="C756" s="20" t="s">
        <v>280</v>
      </c>
      <c r="D756" s="20" t="s">
        <v>972</v>
      </c>
      <c r="E756" s="20" t="s">
        <v>225</v>
      </c>
      <c r="F756" s="6">
        <f>'Пр.4 ведом.20'!G331</f>
        <v>40</v>
      </c>
      <c r="G756" s="6">
        <f>'Пр.4 ведом.20'!H331</f>
        <v>0</v>
      </c>
      <c r="H756" s="6">
        <f t="shared" si="354"/>
        <v>0</v>
      </c>
    </row>
    <row r="757" spans="1:8" s="217" customFormat="1" ht="31.5" x14ac:dyDescent="0.25">
      <c r="A757" s="25" t="s">
        <v>147</v>
      </c>
      <c r="B757" s="20" t="s">
        <v>280</v>
      </c>
      <c r="C757" s="20" t="s">
        <v>280</v>
      </c>
      <c r="D757" s="20" t="s">
        <v>972</v>
      </c>
      <c r="E757" s="20" t="s">
        <v>148</v>
      </c>
      <c r="F757" s="6">
        <f>F758</f>
        <v>415</v>
      </c>
      <c r="G757" s="6">
        <f t="shared" ref="G757" si="375">G758</f>
        <v>142.69999999999999</v>
      </c>
      <c r="H757" s="6">
        <f t="shared" si="354"/>
        <v>34.385542168674696</v>
      </c>
    </row>
    <row r="758" spans="1:8" s="217" customFormat="1" ht="31.5" x14ac:dyDescent="0.25">
      <c r="A758" s="25" t="s">
        <v>149</v>
      </c>
      <c r="B758" s="20" t="s">
        <v>280</v>
      </c>
      <c r="C758" s="20" t="s">
        <v>280</v>
      </c>
      <c r="D758" s="20" t="s">
        <v>972</v>
      </c>
      <c r="E758" s="20" t="s">
        <v>150</v>
      </c>
      <c r="F758" s="6">
        <f>'Пр.4 ведом.20'!G333</f>
        <v>415</v>
      </c>
      <c r="G758" s="6">
        <f>'Пр.4 ведом.20'!H333</f>
        <v>142.69999999999999</v>
      </c>
      <c r="H758" s="6">
        <f t="shared" si="354"/>
        <v>34.385542168674696</v>
      </c>
    </row>
    <row r="759" spans="1:8" s="217" customFormat="1" ht="31.5" x14ac:dyDescent="0.25">
      <c r="A759" s="23" t="s">
        <v>1204</v>
      </c>
      <c r="B759" s="24" t="s">
        <v>280</v>
      </c>
      <c r="C759" s="24" t="s">
        <v>280</v>
      </c>
      <c r="D759" s="24" t="s">
        <v>1200</v>
      </c>
      <c r="E759" s="24"/>
      <c r="F759" s="4">
        <f>F760</f>
        <v>25</v>
      </c>
      <c r="G759" s="4">
        <f t="shared" ref="G759:G761" si="376">G760</f>
        <v>0</v>
      </c>
      <c r="H759" s="4">
        <f t="shared" si="354"/>
        <v>0</v>
      </c>
    </row>
    <row r="760" spans="1:8" s="217" customFormat="1" ht="47.25" x14ac:dyDescent="0.25">
      <c r="A760" s="248" t="s">
        <v>1201</v>
      </c>
      <c r="B760" s="20" t="s">
        <v>280</v>
      </c>
      <c r="C760" s="20" t="s">
        <v>280</v>
      </c>
      <c r="D760" s="20" t="s">
        <v>1222</v>
      </c>
      <c r="E760" s="20"/>
      <c r="F760" s="6">
        <f>F761</f>
        <v>25</v>
      </c>
      <c r="G760" s="6">
        <f t="shared" si="376"/>
        <v>0</v>
      </c>
      <c r="H760" s="6">
        <f t="shared" si="354"/>
        <v>0</v>
      </c>
    </row>
    <row r="761" spans="1:8" s="217" customFormat="1" ht="21.2" customHeight="1" x14ac:dyDescent="0.25">
      <c r="A761" s="25" t="s">
        <v>264</v>
      </c>
      <c r="B761" s="20" t="s">
        <v>280</v>
      </c>
      <c r="C761" s="20" t="s">
        <v>280</v>
      </c>
      <c r="D761" s="20" t="s">
        <v>1222</v>
      </c>
      <c r="E761" s="20" t="s">
        <v>265</v>
      </c>
      <c r="F761" s="6">
        <f>F762</f>
        <v>25</v>
      </c>
      <c r="G761" s="6">
        <f t="shared" si="376"/>
        <v>0</v>
      </c>
      <c r="H761" s="6">
        <f t="shared" si="354"/>
        <v>0</v>
      </c>
    </row>
    <row r="762" spans="1:8" s="217" customFormat="1" ht="31.5" x14ac:dyDescent="0.25">
      <c r="A762" s="25" t="s">
        <v>364</v>
      </c>
      <c r="B762" s="20" t="s">
        <v>280</v>
      </c>
      <c r="C762" s="20" t="s">
        <v>280</v>
      </c>
      <c r="D762" s="20" t="s">
        <v>1222</v>
      </c>
      <c r="E762" s="20" t="s">
        <v>365</v>
      </c>
      <c r="F762" s="6">
        <f>'Пр.4 ведом.20'!G337</f>
        <v>25</v>
      </c>
      <c r="G762" s="6">
        <f>'Пр.4 ведом.20'!H337</f>
        <v>0</v>
      </c>
      <c r="H762" s="6">
        <f t="shared" si="354"/>
        <v>0</v>
      </c>
    </row>
    <row r="763" spans="1:8" ht="47.25" x14ac:dyDescent="0.25">
      <c r="A763" s="23" t="s">
        <v>442</v>
      </c>
      <c r="B763" s="24" t="s">
        <v>280</v>
      </c>
      <c r="C763" s="24" t="s">
        <v>280</v>
      </c>
      <c r="D763" s="24" t="s">
        <v>422</v>
      </c>
      <c r="E763" s="24"/>
      <c r="F763" s="4">
        <f>F764</f>
        <v>5804.9</v>
      </c>
      <c r="G763" s="4">
        <f t="shared" ref="G763:G764" si="377">G764</f>
        <v>2389.1999999999998</v>
      </c>
      <c r="H763" s="4">
        <f t="shared" si="354"/>
        <v>41.158331754207651</v>
      </c>
    </row>
    <row r="764" spans="1:8" ht="31.5" x14ac:dyDescent="0.25">
      <c r="A764" s="23" t="s">
        <v>483</v>
      </c>
      <c r="B764" s="24" t="s">
        <v>280</v>
      </c>
      <c r="C764" s="24" t="s">
        <v>484</v>
      </c>
      <c r="D764" s="24" t="s">
        <v>485</v>
      </c>
      <c r="E764" s="24"/>
      <c r="F764" s="4">
        <f>F765</f>
        <v>5804.9</v>
      </c>
      <c r="G764" s="4">
        <f t="shared" si="377"/>
        <v>2389.1999999999998</v>
      </c>
      <c r="H764" s="4">
        <f t="shared" si="354"/>
        <v>41.158331754207651</v>
      </c>
    </row>
    <row r="765" spans="1:8" ht="31.5" x14ac:dyDescent="0.25">
      <c r="A765" s="23" t="s">
        <v>1056</v>
      </c>
      <c r="B765" s="24" t="s">
        <v>280</v>
      </c>
      <c r="C765" s="24" t="s">
        <v>280</v>
      </c>
      <c r="D765" s="24" t="s">
        <v>1057</v>
      </c>
      <c r="E765" s="24"/>
      <c r="F765" s="4">
        <f>F766+F769</f>
        <v>5804.9</v>
      </c>
      <c r="G765" s="4">
        <f t="shared" ref="G765" si="378">G766+G769</f>
        <v>2389.1999999999998</v>
      </c>
      <c r="H765" s="4">
        <f t="shared" si="354"/>
        <v>41.158331754207651</v>
      </c>
    </row>
    <row r="766" spans="1:8" ht="42" customHeight="1" x14ac:dyDescent="0.25">
      <c r="A766" s="31" t="s">
        <v>1235</v>
      </c>
      <c r="B766" s="20" t="s">
        <v>280</v>
      </c>
      <c r="C766" s="20" t="s">
        <v>280</v>
      </c>
      <c r="D766" s="20" t="s">
        <v>1058</v>
      </c>
      <c r="E766" s="20"/>
      <c r="F766" s="6">
        <f>F767</f>
        <v>3584</v>
      </c>
      <c r="G766" s="6">
        <f t="shared" ref="G766:G767" si="379">G767</f>
        <v>2389.1999999999998</v>
      </c>
      <c r="H766" s="6">
        <f t="shared" si="354"/>
        <v>66.662946428571416</v>
      </c>
    </row>
    <row r="767" spans="1:8" ht="35.450000000000003" customHeight="1" x14ac:dyDescent="0.25">
      <c r="A767" s="25" t="s">
        <v>288</v>
      </c>
      <c r="B767" s="20" t="s">
        <v>280</v>
      </c>
      <c r="C767" s="20" t="s">
        <v>280</v>
      </c>
      <c r="D767" s="20" t="s">
        <v>1058</v>
      </c>
      <c r="E767" s="20" t="s">
        <v>289</v>
      </c>
      <c r="F767" s="6">
        <f>F768</f>
        <v>3584</v>
      </c>
      <c r="G767" s="6">
        <f t="shared" si="379"/>
        <v>2389.1999999999998</v>
      </c>
      <c r="H767" s="6">
        <f t="shared" si="354"/>
        <v>66.662946428571416</v>
      </c>
    </row>
    <row r="768" spans="1:8" ht="15.75" x14ac:dyDescent="0.25">
      <c r="A768" s="25" t="s">
        <v>290</v>
      </c>
      <c r="B768" s="20" t="s">
        <v>280</v>
      </c>
      <c r="C768" s="20" t="s">
        <v>280</v>
      </c>
      <c r="D768" s="20" t="s">
        <v>1058</v>
      </c>
      <c r="E768" s="20" t="s">
        <v>291</v>
      </c>
      <c r="F768" s="6">
        <f>'Пр.4 ведом.20'!G758</f>
        <v>3584</v>
      </c>
      <c r="G768" s="6">
        <f>'Пр.4 ведом.20'!H758</f>
        <v>2389.1999999999998</v>
      </c>
      <c r="H768" s="6">
        <f t="shared" si="354"/>
        <v>66.662946428571416</v>
      </c>
    </row>
    <row r="769" spans="1:8" ht="31.5" x14ac:dyDescent="0.25">
      <c r="A769" s="31" t="s">
        <v>490</v>
      </c>
      <c r="B769" s="20" t="s">
        <v>280</v>
      </c>
      <c r="C769" s="20" t="s">
        <v>280</v>
      </c>
      <c r="D769" s="20" t="s">
        <v>1059</v>
      </c>
      <c r="E769" s="20"/>
      <c r="F769" s="6">
        <f>F770</f>
        <v>2220.9</v>
      </c>
      <c r="G769" s="6">
        <f t="shared" ref="G769:G770" si="380">G770</f>
        <v>0</v>
      </c>
      <c r="H769" s="6">
        <f t="shared" si="354"/>
        <v>0</v>
      </c>
    </row>
    <row r="770" spans="1:8" ht="31.5" x14ac:dyDescent="0.25">
      <c r="A770" s="25" t="s">
        <v>288</v>
      </c>
      <c r="B770" s="20" t="s">
        <v>280</v>
      </c>
      <c r="C770" s="20" t="s">
        <v>280</v>
      </c>
      <c r="D770" s="20" t="s">
        <v>1059</v>
      </c>
      <c r="E770" s="20" t="s">
        <v>289</v>
      </c>
      <c r="F770" s="6">
        <f>F771</f>
        <v>2220.9</v>
      </c>
      <c r="G770" s="6">
        <f t="shared" si="380"/>
        <v>0</v>
      </c>
      <c r="H770" s="6">
        <f t="shared" si="354"/>
        <v>0</v>
      </c>
    </row>
    <row r="771" spans="1:8" ht="15.75" x14ac:dyDescent="0.25">
      <c r="A771" s="25" t="s">
        <v>290</v>
      </c>
      <c r="B771" s="20" t="s">
        <v>280</v>
      </c>
      <c r="C771" s="20" t="s">
        <v>280</v>
      </c>
      <c r="D771" s="20" t="s">
        <v>1059</v>
      </c>
      <c r="E771" s="20" t="s">
        <v>291</v>
      </c>
      <c r="F771" s="6">
        <f>'Пр.4 ведом.20'!G761</f>
        <v>2220.9</v>
      </c>
      <c r="G771" s="6">
        <f>'Пр.4 ведом.20'!H761</f>
        <v>0</v>
      </c>
      <c r="H771" s="6">
        <f t="shared" si="354"/>
        <v>0</v>
      </c>
    </row>
    <row r="772" spans="1:8" ht="15" customHeight="1" x14ac:dyDescent="0.25">
      <c r="A772" s="23" t="s">
        <v>311</v>
      </c>
      <c r="B772" s="24" t="s">
        <v>280</v>
      </c>
      <c r="C772" s="24" t="s">
        <v>235</v>
      </c>
      <c r="D772" s="24"/>
      <c r="E772" s="24"/>
      <c r="F772" s="4">
        <f>F773+F783</f>
        <v>20647.399999999998</v>
      </c>
      <c r="G772" s="4">
        <f t="shared" ref="G772" si="381">G773+G783</f>
        <v>9438.380000000001</v>
      </c>
      <c r="H772" s="4">
        <f t="shared" si="354"/>
        <v>45.712196208723626</v>
      </c>
    </row>
    <row r="773" spans="1:8" ht="31.5" x14ac:dyDescent="0.25">
      <c r="A773" s="23" t="s">
        <v>990</v>
      </c>
      <c r="B773" s="24" t="s">
        <v>280</v>
      </c>
      <c r="C773" s="24" t="s">
        <v>235</v>
      </c>
      <c r="D773" s="24" t="s">
        <v>904</v>
      </c>
      <c r="E773" s="24"/>
      <c r="F773" s="4">
        <f>F774</f>
        <v>5934.2</v>
      </c>
      <c r="G773" s="4">
        <f t="shared" ref="G773" si="382">G774</f>
        <v>3063.1099999999997</v>
      </c>
      <c r="H773" s="4">
        <f t="shared" si="354"/>
        <v>51.617909743520606</v>
      </c>
    </row>
    <row r="774" spans="1:8" ht="15.75" x14ac:dyDescent="0.25">
      <c r="A774" s="23" t="s">
        <v>991</v>
      </c>
      <c r="B774" s="24" t="s">
        <v>280</v>
      </c>
      <c r="C774" s="24" t="s">
        <v>235</v>
      </c>
      <c r="D774" s="24" t="s">
        <v>905</v>
      </c>
      <c r="E774" s="24"/>
      <c r="F774" s="4">
        <f>F775+F780</f>
        <v>5934.2</v>
      </c>
      <c r="G774" s="4">
        <f t="shared" ref="G774" si="383">G775+G780</f>
        <v>3063.1099999999997</v>
      </c>
      <c r="H774" s="4">
        <f t="shared" si="354"/>
        <v>51.617909743520606</v>
      </c>
    </row>
    <row r="775" spans="1:8" ht="31.5" x14ac:dyDescent="0.25">
      <c r="A775" s="25" t="s">
        <v>967</v>
      </c>
      <c r="B775" s="20" t="s">
        <v>280</v>
      </c>
      <c r="C775" s="20" t="s">
        <v>235</v>
      </c>
      <c r="D775" s="20" t="s">
        <v>906</v>
      </c>
      <c r="E775" s="20"/>
      <c r="F775" s="6">
        <f>F776+F778</f>
        <v>5808.2</v>
      </c>
      <c r="G775" s="6">
        <f t="shared" ref="G775" si="384">G776+G778</f>
        <v>2937.1099999999997</v>
      </c>
      <c r="H775" s="6">
        <f t="shared" si="354"/>
        <v>50.568334423745732</v>
      </c>
    </row>
    <row r="776" spans="1:8" ht="78.75" x14ac:dyDescent="0.25">
      <c r="A776" s="25" t="s">
        <v>143</v>
      </c>
      <c r="B776" s="20" t="s">
        <v>280</v>
      </c>
      <c r="C776" s="20" t="s">
        <v>235</v>
      </c>
      <c r="D776" s="20" t="s">
        <v>906</v>
      </c>
      <c r="E776" s="20" t="s">
        <v>144</v>
      </c>
      <c r="F776" s="6">
        <f>F777</f>
        <v>5596.2</v>
      </c>
      <c r="G776" s="6">
        <f t="shared" ref="G776" si="385">G777</f>
        <v>2837.37</v>
      </c>
      <c r="H776" s="6">
        <f t="shared" si="354"/>
        <v>50.701726171330542</v>
      </c>
    </row>
    <row r="777" spans="1:8" ht="36.75" customHeight="1" x14ac:dyDescent="0.25">
      <c r="A777" s="25" t="s">
        <v>145</v>
      </c>
      <c r="B777" s="20" t="s">
        <v>280</v>
      </c>
      <c r="C777" s="20" t="s">
        <v>235</v>
      </c>
      <c r="D777" s="20" t="s">
        <v>906</v>
      </c>
      <c r="E777" s="20" t="s">
        <v>146</v>
      </c>
      <c r="F777" s="6">
        <f>'Пр.4 ведом.20'!G767</f>
        <v>5596.2</v>
      </c>
      <c r="G777" s="6">
        <f>'Пр.4 ведом.20'!H767</f>
        <v>2837.37</v>
      </c>
      <c r="H777" s="6">
        <f t="shared" si="354"/>
        <v>50.701726171330542</v>
      </c>
    </row>
    <row r="778" spans="1:8" ht="31.5" x14ac:dyDescent="0.25">
      <c r="A778" s="25" t="s">
        <v>147</v>
      </c>
      <c r="B778" s="20" t="s">
        <v>280</v>
      </c>
      <c r="C778" s="20" t="s">
        <v>235</v>
      </c>
      <c r="D778" s="20" t="s">
        <v>906</v>
      </c>
      <c r="E778" s="20" t="s">
        <v>148</v>
      </c>
      <c r="F778" s="6">
        <f>F779</f>
        <v>212</v>
      </c>
      <c r="G778" s="6">
        <f t="shared" ref="G778" si="386">G779</f>
        <v>99.74</v>
      </c>
      <c r="H778" s="6">
        <f t="shared" si="354"/>
        <v>47.047169811320757</v>
      </c>
    </row>
    <row r="779" spans="1:8" ht="31.5" x14ac:dyDescent="0.25">
      <c r="A779" s="25" t="s">
        <v>149</v>
      </c>
      <c r="B779" s="20" t="s">
        <v>280</v>
      </c>
      <c r="C779" s="20" t="s">
        <v>235</v>
      </c>
      <c r="D779" s="20" t="s">
        <v>906</v>
      </c>
      <c r="E779" s="20" t="s">
        <v>150</v>
      </c>
      <c r="F779" s="6">
        <f>'Пр.4 ведом.20'!G769</f>
        <v>212</v>
      </c>
      <c r="G779" s="6">
        <f>'Пр.4 ведом.20'!H769</f>
        <v>99.74</v>
      </c>
      <c r="H779" s="6">
        <f t="shared" ref="H779:H842" si="387">G779/F779*100</f>
        <v>47.047169811320757</v>
      </c>
    </row>
    <row r="780" spans="1:8" ht="47.25" x14ac:dyDescent="0.25">
      <c r="A780" s="25" t="s">
        <v>885</v>
      </c>
      <c r="B780" s="20" t="s">
        <v>280</v>
      </c>
      <c r="C780" s="20" t="s">
        <v>235</v>
      </c>
      <c r="D780" s="20" t="s">
        <v>908</v>
      </c>
      <c r="E780" s="20"/>
      <c r="F780" s="6">
        <f>F781</f>
        <v>126</v>
      </c>
      <c r="G780" s="6">
        <f t="shared" ref="G780:G781" si="388">G781</f>
        <v>126</v>
      </c>
      <c r="H780" s="6">
        <f t="shared" si="387"/>
        <v>100</v>
      </c>
    </row>
    <row r="781" spans="1:8" ht="78.75" x14ac:dyDescent="0.25">
      <c r="A781" s="25" t="s">
        <v>143</v>
      </c>
      <c r="B781" s="20" t="s">
        <v>280</v>
      </c>
      <c r="C781" s="20" t="s">
        <v>235</v>
      </c>
      <c r="D781" s="20" t="s">
        <v>908</v>
      </c>
      <c r="E781" s="20" t="s">
        <v>144</v>
      </c>
      <c r="F781" s="6">
        <f>F782</f>
        <v>126</v>
      </c>
      <c r="G781" s="6">
        <f t="shared" si="388"/>
        <v>126</v>
      </c>
      <c r="H781" s="6">
        <f t="shared" si="387"/>
        <v>100</v>
      </c>
    </row>
    <row r="782" spans="1:8" ht="31.5" x14ac:dyDescent="0.25">
      <c r="A782" s="25" t="s">
        <v>145</v>
      </c>
      <c r="B782" s="20" t="s">
        <v>280</v>
      </c>
      <c r="C782" s="20" t="s">
        <v>235</v>
      </c>
      <c r="D782" s="20" t="s">
        <v>908</v>
      </c>
      <c r="E782" s="20" t="s">
        <v>146</v>
      </c>
      <c r="F782" s="6">
        <f>'Пр.4 ведом.20'!G772</f>
        <v>126</v>
      </c>
      <c r="G782" s="6">
        <f>'Пр.4 ведом.20'!H772</f>
        <v>126</v>
      </c>
      <c r="H782" s="6">
        <f t="shared" si="387"/>
        <v>100</v>
      </c>
    </row>
    <row r="783" spans="1:8" ht="15.75" x14ac:dyDescent="0.25">
      <c r="A783" s="23" t="s">
        <v>157</v>
      </c>
      <c r="B783" s="24" t="s">
        <v>280</v>
      </c>
      <c r="C783" s="24" t="s">
        <v>235</v>
      </c>
      <c r="D783" s="24" t="s">
        <v>912</v>
      </c>
      <c r="E783" s="24"/>
      <c r="F783" s="4">
        <f>F784+F788</f>
        <v>14713.199999999999</v>
      </c>
      <c r="G783" s="4">
        <f t="shared" ref="G783" si="389">G784+G788</f>
        <v>6375.27</v>
      </c>
      <c r="H783" s="4">
        <f t="shared" si="387"/>
        <v>43.330274855232041</v>
      </c>
    </row>
    <row r="784" spans="1:8" ht="31.5" x14ac:dyDescent="0.25">
      <c r="A784" s="23" t="s">
        <v>916</v>
      </c>
      <c r="B784" s="24" t="s">
        <v>280</v>
      </c>
      <c r="C784" s="24" t="s">
        <v>235</v>
      </c>
      <c r="D784" s="24" t="s">
        <v>911</v>
      </c>
      <c r="E784" s="24"/>
      <c r="F784" s="4">
        <f>F785</f>
        <v>550</v>
      </c>
      <c r="G784" s="4">
        <f t="shared" ref="G784:G786" si="390">G785</f>
        <v>64.39</v>
      </c>
      <c r="H784" s="4">
        <f t="shared" si="387"/>
        <v>11.707272727272727</v>
      </c>
    </row>
    <row r="785" spans="1:10" ht="15.75" x14ac:dyDescent="0.25">
      <c r="A785" s="25" t="s">
        <v>494</v>
      </c>
      <c r="B785" s="20" t="s">
        <v>280</v>
      </c>
      <c r="C785" s="20" t="s">
        <v>235</v>
      </c>
      <c r="D785" s="20" t="s">
        <v>1060</v>
      </c>
      <c r="E785" s="20"/>
      <c r="F785" s="6">
        <f>F786</f>
        <v>550</v>
      </c>
      <c r="G785" s="6">
        <f t="shared" si="390"/>
        <v>64.39</v>
      </c>
      <c r="H785" s="6">
        <f t="shared" si="387"/>
        <v>11.707272727272727</v>
      </c>
    </row>
    <row r="786" spans="1:10" ht="31.5" x14ac:dyDescent="0.25">
      <c r="A786" s="25" t="s">
        <v>147</v>
      </c>
      <c r="B786" s="20" t="s">
        <v>280</v>
      </c>
      <c r="C786" s="20" t="s">
        <v>235</v>
      </c>
      <c r="D786" s="20" t="s">
        <v>1060</v>
      </c>
      <c r="E786" s="20" t="s">
        <v>148</v>
      </c>
      <c r="F786" s="6">
        <f>F787</f>
        <v>550</v>
      </c>
      <c r="G786" s="6">
        <f t="shared" si="390"/>
        <v>64.39</v>
      </c>
      <c r="H786" s="6">
        <f t="shared" si="387"/>
        <v>11.707272727272727</v>
      </c>
    </row>
    <row r="787" spans="1:10" ht="39.75" customHeight="1" x14ac:dyDescent="0.25">
      <c r="A787" s="25" t="s">
        <v>149</v>
      </c>
      <c r="B787" s="20" t="s">
        <v>280</v>
      </c>
      <c r="C787" s="20" t="s">
        <v>235</v>
      </c>
      <c r="D787" s="20" t="s">
        <v>1060</v>
      </c>
      <c r="E787" s="20" t="s">
        <v>150</v>
      </c>
      <c r="F787" s="6">
        <f>'Пр.4 ведом.20'!G777</f>
        <v>550</v>
      </c>
      <c r="G787" s="6">
        <f>'Пр.4 ведом.20'!H777</f>
        <v>64.39</v>
      </c>
      <c r="H787" s="6">
        <f t="shared" si="387"/>
        <v>11.707272727272727</v>
      </c>
    </row>
    <row r="788" spans="1:10" ht="36.75" customHeight="1" x14ac:dyDescent="0.25">
      <c r="A788" s="23" t="s">
        <v>1002</v>
      </c>
      <c r="B788" s="24" t="s">
        <v>280</v>
      </c>
      <c r="C788" s="24" t="s">
        <v>235</v>
      </c>
      <c r="D788" s="24" t="s">
        <v>987</v>
      </c>
      <c r="E788" s="24"/>
      <c r="F788" s="4">
        <f>F789+F796</f>
        <v>14163.199999999999</v>
      </c>
      <c r="G788" s="4">
        <f t="shared" ref="G788" si="391">G789+G796</f>
        <v>6310.88</v>
      </c>
      <c r="H788" s="4">
        <f t="shared" si="387"/>
        <v>44.558291911432448</v>
      </c>
    </row>
    <row r="789" spans="1:10" ht="31.5" x14ac:dyDescent="0.25">
      <c r="A789" s="25" t="s">
        <v>974</v>
      </c>
      <c r="B789" s="20" t="s">
        <v>280</v>
      </c>
      <c r="C789" s="20" t="s">
        <v>235</v>
      </c>
      <c r="D789" s="20" t="s">
        <v>988</v>
      </c>
      <c r="E789" s="20"/>
      <c r="F789" s="308">
        <f>F790+F792+F794</f>
        <v>13827.199999999999</v>
      </c>
      <c r="G789" s="308">
        <f t="shared" ref="G789" si="392">G790+G792+G794</f>
        <v>6100.88</v>
      </c>
      <c r="H789" s="6">
        <f t="shared" si="387"/>
        <v>44.122309650543862</v>
      </c>
    </row>
    <row r="790" spans="1:10" ht="78.75" x14ac:dyDescent="0.25">
      <c r="A790" s="25" t="s">
        <v>143</v>
      </c>
      <c r="B790" s="20" t="s">
        <v>280</v>
      </c>
      <c r="C790" s="20" t="s">
        <v>235</v>
      </c>
      <c r="D790" s="20" t="s">
        <v>988</v>
      </c>
      <c r="E790" s="20" t="s">
        <v>144</v>
      </c>
      <c r="F790" s="308">
        <f>F791</f>
        <v>12735.199999999999</v>
      </c>
      <c r="G790" s="308">
        <f t="shared" ref="G790" si="393">G791</f>
        <v>5801.78</v>
      </c>
      <c r="H790" s="6">
        <f t="shared" si="387"/>
        <v>45.557038758716004</v>
      </c>
    </row>
    <row r="791" spans="1:10" ht="24" customHeight="1" x14ac:dyDescent="0.25">
      <c r="A791" s="25" t="s">
        <v>358</v>
      </c>
      <c r="B791" s="20" t="s">
        <v>280</v>
      </c>
      <c r="C791" s="20" t="s">
        <v>235</v>
      </c>
      <c r="D791" s="20" t="s">
        <v>988</v>
      </c>
      <c r="E791" s="20" t="s">
        <v>225</v>
      </c>
      <c r="F791" s="6">
        <f>'Пр.4 ведом.20'!G781</f>
        <v>12735.199999999999</v>
      </c>
      <c r="G791" s="6">
        <f>'Пр.4 ведом.20'!H781</f>
        <v>5801.78</v>
      </c>
      <c r="H791" s="6">
        <f t="shared" si="387"/>
        <v>45.557038758716004</v>
      </c>
    </row>
    <row r="792" spans="1:10" ht="31.5" x14ac:dyDescent="0.25">
      <c r="A792" s="25" t="s">
        <v>147</v>
      </c>
      <c r="B792" s="20" t="s">
        <v>280</v>
      </c>
      <c r="C792" s="20" t="s">
        <v>235</v>
      </c>
      <c r="D792" s="20" t="s">
        <v>988</v>
      </c>
      <c r="E792" s="20" t="s">
        <v>148</v>
      </c>
      <c r="F792" s="6">
        <f>F793</f>
        <v>1077</v>
      </c>
      <c r="G792" s="6">
        <f t="shared" ref="G792" si="394">G793</f>
        <v>299.10000000000002</v>
      </c>
      <c r="H792" s="6">
        <f t="shared" si="387"/>
        <v>27.771587743732596</v>
      </c>
    </row>
    <row r="793" spans="1:10" ht="31.7" customHeight="1" x14ac:dyDescent="0.25">
      <c r="A793" s="25" t="s">
        <v>149</v>
      </c>
      <c r="B793" s="20" t="s">
        <v>280</v>
      </c>
      <c r="C793" s="20" t="s">
        <v>235</v>
      </c>
      <c r="D793" s="20" t="s">
        <v>988</v>
      </c>
      <c r="E793" s="20" t="s">
        <v>150</v>
      </c>
      <c r="F793" s="6">
        <f>'Пр.4 ведом.20'!G783</f>
        <v>1077</v>
      </c>
      <c r="G793" s="6">
        <f>'Пр.4 ведом.20'!H783</f>
        <v>299.10000000000002</v>
      </c>
      <c r="H793" s="6">
        <f t="shared" si="387"/>
        <v>27.771587743732596</v>
      </c>
    </row>
    <row r="794" spans="1:10" ht="22.7" customHeight="1" x14ac:dyDescent="0.25">
      <c r="A794" s="25" t="s">
        <v>151</v>
      </c>
      <c r="B794" s="20" t="s">
        <v>280</v>
      </c>
      <c r="C794" s="20" t="s">
        <v>235</v>
      </c>
      <c r="D794" s="20" t="s">
        <v>988</v>
      </c>
      <c r="E794" s="20" t="s">
        <v>161</v>
      </c>
      <c r="F794" s="6">
        <f t="shared" ref="F794:G794" si="395">F795</f>
        <v>15</v>
      </c>
      <c r="G794" s="6">
        <f t="shared" si="395"/>
        <v>0</v>
      </c>
      <c r="H794" s="6">
        <f t="shared" si="387"/>
        <v>0</v>
      </c>
    </row>
    <row r="795" spans="1:10" ht="15.75" customHeight="1" x14ac:dyDescent="0.25">
      <c r="A795" s="25" t="s">
        <v>584</v>
      </c>
      <c r="B795" s="20" t="s">
        <v>280</v>
      </c>
      <c r="C795" s="20" t="s">
        <v>235</v>
      </c>
      <c r="D795" s="20" t="s">
        <v>988</v>
      </c>
      <c r="E795" s="20" t="s">
        <v>154</v>
      </c>
      <c r="F795" s="6">
        <f>'Пр.4 ведом.20'!G785</f>
        <v>15</v>
      </c>
      <c r="G795" s="6">
        <f>'Пр.4 ведом.20'!H785</f>
        <v>0</v>
      </c>
      <c r="H795" s="6">
        <f t="shared" si="387"/>
        <v>0</v>
      </c>
    </row>
    <row r="796" spans="1:10" ht="47.25" customHeight="1" x14ac:dyDescent="0.25">
      <c r="A796" s="25" t="s">
        <v>885</v>
      </c>
      <c r="B796" s="20" t="s">
        <v>280</v>
      </c>
      <c r="C796" s="20" t="s">
        <v>235</v>
      </c>
      <c r="D796" s="20" t="s">
        <v>989</v>
      </c>
      <c r="E796" s="20"/>
      <c r="F796" s="6">
        <f>F797</f>
        <v>336</v>
      </c>
      <c r="G796" s="6">
        <f t="shared" ref="G796:G797" si="396">G797</f>
        <v>210</v>
      </c>
      <c r="H796" s="6">
        <f t="shared" si="387"/>
        <v>62.5</v>
      </c>
    </row>
    <row r="797" spans="1:10" ht="78.75" x14ac:dyDescent="0.25">
      <c r="A797" s="25" t="s">
        <v>143</v>
      </c>
      <c r="B797" s="20" t="s">
        <v>280</v>
      </c>
      <c r="C797" s="20" t="s">
        <v>235</v>
      </c>
      <c r="D797" s="20" t="s">
        <v>989</v>
      </c>
      <c r="E797" s="20" t="s">
        <v>144</v>
      </c>
      <c r="F797" s="6">
        <f>F798</f>
        <v>336</v>
      </c>
      <c r="G797" s="6">
        <f t="shared" si="396"/>
        <v>210</v>
      </c>
      <c r="H797" s="6">
        <f t="shared" si="387"/>
        <v>62.5</v>
      </c>
    </row>
    <row r="798" spans="1:10" ht="31.5" x14ac:dyDescent="0.25">
      <c r="A798" s="25" t="s">
        <v>145</v>
      </c>
      <c r="B798" s="20" t="s">
        <v>280</v>
      </c>
      <c r="C798" s="20" t="s">
        <v>235</v>
      </c>
      <c r="D798" s="20" t="s">
        <v>989</v>
      </c>
      <c r="E798" s="20" t="s">
        <v>146</v>
      </c>
      <c r="F798" s="6">
        <f>'Пр.4 ведом.20'!G788</f>
        <v>336</v>
      </c>
      <c r="G798" s="6">
        <f>'Пр.4 ведом.20'!H788</f>
        <v>210</v>
      </c>
      <c r="H798" s="6">
        <f t="shared" si="387"/>
        <v>62.5</v>
      </c>
    </row>
    <row r="799" spans="1:10" ht="15.75" x14ac:dyDescent="0.25">
      <c r="A799" s="41" t="s">
        <v>314</v>
      </c>
      <c r="B799" s="7" t="s">
        <v>315</v>
      </c>
      <c r="C799" s="7"/>
      <c r="D799" s="7"/>
      <c r="E799" s="7"/>
      <c r="F799" s="4">
        <f>F800+F876</f>
        <v>72248.323000000004</v>
      </c>
      <c r="G799" s="4">
        <f t="shared" ref="G799" si="397">G800+G876</f>
        <v>32432.93</v>
      </c>
      <c r="H799" s="4">
        <f t="shared" si="387"/>
        <v>44.890910478295801</v>
      </c>
    </row>
    <row r="800" spans="1:10" ht="15.75" x14ac:dyDescent="0.25">
      <c r="A800" s="41" t="s">
        <v>316</v>
      </c>
      <c r="B800" s="7" t="s">
        <v>315</v>
      </c>
      <c r="C800" s="7" t="s">
        <v>134</v>
      </c>
      <c r="D800" s="7"/>
      <c r="E800" s="7"/>
      <c r="F800" s="4">
        <f>F801+F866+F871</f>
        <v>54353.722999999998</v>
      </c>
      <c r="G800" s="4">
        <f t="shared" ref="G800" si="398">G801+G866+G871</f>
        <v>24101.48</v>
      </c>
      <c r="H800" s="4">
        <f t="shared" si="387"/>
        <v>44.341911960658152</v>
      </c>
      <c r="I800" s="22"/>
      <c r="J800" s="22"/>
    </row>
    <row r="801" spans="1:12" ht="34.5" customHeight="1" x14ac:dyDescent="0.25">
      <c r="A801" s="23" t="s">
        <v>282</v>
      </c>
      <c r="B801" s="24" t="s">
        <v>315</v>
      </c>
      <c r="C801" s="24" t="s">
        <v>134</v>
      </c>
      <c r="D801" s="24" t="s">
        <v>283</v>
      </c>
      <c r="E801" s="24"/>
      <c r="F801" s="4">
        <f>F802+F832</f>
        <v>53419.123</v>
      </c>
      <c r="G801" s="4">
        <f t="shared" ref="G801" si="399">G802+G832</f>
        <v>23763.72</v>
      </c>
      <c r="H801" s="4">
        <f t="shared" si="387"/>
        <v>44.48541770331947</v>
      </c>
    </row>
    <row r="802" spans="1:12" ht="47.25" x14ac:dyDescent="0.25">
      <c r="A802" s="23" t="s">
        <v>317</v>
      </c>
      <c r="B802" s="24" t="s">
        <v>315</v>
      </c>
      <c r="C802" s="24" t="s">
        <v>134</v>
      </c>
      <c r="D802" s="24" t="s">
        <v>318</v>
      </c>
      <c r="E802" s="24"/>
      <c r="F802" s="4">
        <f>F803+F811+F817+F821+F828</f>
        <v>29748.222999999998</v>
      </c>
      <c r="G802" s="4">
        <f t="shared" ref="G802" si="400">G803+G811+G817+G821+G828</f>
        <v>13693.05</v>
      </c>
      <c r="H802" s="4">
        <f t="shared" si="387"/>
        <v>46.02980823425991</v>
      </c>
    </row>
    <row r="803" spans="1:12" ht="34.5" customHeight="1" x14ac:dyDescent="0.25">
      <c r="A803" s="23" t="s">
        <v>956</v>
      </c>
      <c r="B803" s="24" t="s">
        <v>315</v>
      </c>
      <c r="C803" s="24" t="s">
        <v>134</v>
      </c>
      <c r="D803" s="24" t="s">
        <v>957</v>
      </c>
      <c r="E803" s="24"/>
      <c r="F803" s="4">
        <f>F804</f>
        <v>25834</v>
      </c>
      <c r="G803" s="4">
        <f t="shared" ref="G803" si="401">G804</f>
        <v>12584.92</v>
      </c>
      <c r="H803" s="4">
        <f t="shared" si="387"/>
        <v>48.714562204846331</v>
      </c>
    </row>
    <row r="804" spans="1:12" ht="15.75" x14ac:dyDescent="0.25">
      <c r="A804" s="25" t="s">
        <v>832</v>
      </c>
      <c r="B804" s="20" t="s">
        <v>315</v>
      </c>
      <c r="C804" s="20" t="s">
        <v>134</v>
      </c>
      <c r="D804" s="20" t="s">
        <v>955</v>
      </c>
      <c r="E804" s="20"/>
      <c r="F804" s="6">
        <f>F805+F807+F809</f>
        <v>25834</v>
      </c>
      <c r="G804" s="6">
        <f t="shared" ref="G804" si="402">G805+G807+G809</f>
        <v>12584.92</v>
      </c>
      <c r="H804" s="6">
        <f t="shared" si="387"/>
        <v>48.714562204846331</v>
      </c>
    </row>
    <row r="805" spans="1:12" ht="78.75" x14ac:dyDescent="0.25">
      <c r="A805" s="25" t="s">
        <v>143</v>
      </c>
      <c r="B805" s="20" t="s">
        <v>315</v>
      </c>
      <c r="C805" s="20" t="s">
        <v>134</v>
      </c>
      <c r="D805" s="20" t="s">
        <v>955</v>
      </c>
      <c r="E805" s="20" t="s">
        <v>144</v>
      </c>
      <c r="F805" s="6">
        <f>F806</f>
        <v>20047.5</v>
      </c>
      <c r="G805" s="6">
        <f t="shared" ref="G805" si="403">G806</f>
        <v>9389.6</v>
      </c>
      <c r="H805" s="6">
        <f t="shared" si="387"/>
        <v>46.836762688614542</v>
      </c>
    </row>
    <row r="806" spans="1:12" ht="15.75" x14ac:dyDescent="0.25">
      <c r="A806" s="25" t="s">
        <v>224</v>
      </c>
      <c r="B806" s="20" t="s">
        <v>315</v>
      </c>
      <c r="C806" s="20" t="s">
        <v>134</v>
      </c>
      <c r="D806" s="20" t="s">
        <v>955</v>
      </c>
      <c r="E806" s="20" t="s">
        <v>225</v>
      </c>
      <c r="F806" s="6">
        <f>'Пр.4 ведом.20'!G345</f>
        <v>20047.5</v>
      </c>
      <c r="G806" s="6">
        <f>'Пр.4 ведом.20'!H345</f>
        <v>9389.6</v>
      </c>
      <c r="H806" s="6">
        <f t="shared" si="387"/>
        <v>46.836762688614542</v>
      </c>
    </row>
    <row r="807" spans="1:12" ht="31.5" x14ac:dyDescent="0.25">
      <c r="A807" s="25" t="s">
        <v>147</v>
      </c>
      <c r="B807" s="20" t="s">
        <v>315</v>
      </c>
      <c r="C807" s="20" t="s">
        <v>134</v>
      </c>
      <c r="D807" s="20" t="s">
        <v>955</v>
      </c>
      <c r="E807" s="20" t="s">
        <v>148</v>
      </c>
      <c r="F807" s="6">
        <f>F808</f>
        <v>5666.5</v>
      </c>
      <c r="G807" s="6">
        <f t="shared" ref="G807" si="404">G808</f>
        <v>3079.22</v>
      </c>
      <c r="H807" s="6">
        <f t="shared" si="387"/>
        <v>54.340774728668485</v>
      </c>
      <c r="L807" s="22"/>
    </row>
    <row r="808" spans="1:12" ht="31.5" x14ac:dyDescent="0.25">
      <c r="A808" s="25" t="s">
        <v>149</v>
      </c>
      <c r="B808" s="20" t="s">
        <v>315</v>
      </c>
      <c r="C808" s="20" t="s">
        <v>134</v>
      </c>
      <c r="D808" s="20" t="s">
        <v>955</v>
      </c>
      <c r="E808" s="20" t="s">
        <v>150</v>
      </c>
      <c r="F808" s="6">
        <f>'Пр.4 ведом.20'!G347</f>
        <v>5666.5</v>
      </c>
      <c r="G808" s="6">
        <f>'Пр.4 ведом.20'!H347</f>
        <v>3079.22</v>
      </c>
      <c r="H808" s="6">
        <f t="shared" si="387"/>
        <v>54.340774728668485</v>
      </c>
    </row>
    <row r="809" spans="1:12" ht="15.75" x14ac:dyDescent="0.25">
      <c r="A809" s="25" t="s">
        <v>151</v>
      </c>
      <c r="B809" s="20" t="s">
        <v>315</v>
      </c>
      <c r="C809" s="20" t="s">
        <v>134</v>
      </c>
      <c r="D809" s="20" t="s">
        <v>955</v>
      </c>
      <c r="E809" s="20" t="s">
        <v>161</v>
      </c>
      <c r="F809" s="6">
        <f t="shared" ref="F809:G809" si="405">F810</f>
        <v>120</v>
      </c>
      <c r="G809" s="6">
        <f t="shared" si="405"/>
        <v>116.1</v>
      </c>
      <c r="H809" s="6">
        <f t="shared" si="387"/>
        <v>96.749999999999986</v>
      </c>
    </row>
    <row r="810" spans="1:12" ht="15.75" x14ac:dyDescent="0.25">
      <c r="A810" s="25" t="s">
        <v>584</v>
      </c>
      <c r="B810" s="20" t="s">
        <v>315</v>
      </c>
      <c r="C810" s="20" t="s">
        <v>134</v>
      </c>
      <c r="D810" s="20" t="s">
        <v>955</v>
      </c>
      <c r="E810" s="20" t="s">
        <v>154</v>
      </c>
      <c r="F810" s="6">
        <f>'Пр.4 ведом.20'!G349</f>
        <v>120</v>
      </c>
      <c r="G810" s="6">
        <f>'Пр.4 ведом.20'!H349</f>
        <v>116.1</v>
      </c>
      <c r="H810" s="6">
        <f t="shared" si="387"/>
        <v>96.749999999999986</v>
      </c>
    </row>
    <row r="811" spans="1:12" ht="31.5" x14ac:dyDescent="0.25">
      <c r="A811" s="229" t="s">
        <v>970</v>
      </c>
      <c r="B811" s="24" t="s">
        <v>315</v>
      </c>
      <c r="C811" s="24" t="s">
        <v>134</v>
      </c>
      <c r="D811" s="24" t="s">
        <v>958</v>
      </c>
      <c r="E811" s="24"/>
      <c r="F811" s="4">
        <f>F812</f>
        <v>1171</v>
      </c>
      <c r="G811" s="4">
        <f t="shared" ref="G811" si="406">G812</f>
        <v>378.8</v>
      </c>
      <c r="H811" s="4">
        <f t="shared" si="387"/>
        <v>32.348420153714777</v>
      </c>
    </row>
    <row r="812" spans="1:12" ht="31.5" x14ac:dyDescent="0.25">
      <c r="A812" s="31" t="s">
        <v>860</v>
      </c>
      <c r="B812" s="20" t="s">
        <v>315</v>
      </c>
      <c r="C812" s="20" t="s">
        <v>134</v>
      </c>
      <c r="D812" s="20" t="s">
        <v>959</v>
      </c>
      <c r="E812" s="20"/>
      <c r="F812" s="6">
        <f>F813+F815</f>
        <v>1171</v>
      </c>
      <c r="G812" s="6">
        <f t="shared" ref="G812" si="407">G813+G815</f>
        <v>378.8</v>
      </c>
      <c r="H812" s="6">
        <f t="shared" si="387"/>
        <v>32.348420153714777</v>
      </c>
    </row>
    <row r="813" spans="1:12" ht="78.75" x14ac:dyDescent="0.25">
      <c r="A813" s="25" t="s">
        <v>143</v>
      </c>
      <c r="B813" s="20" t="s">
        <v>315</v>
      </c>
      <c r="C813" s="20" t="s">
        <v>134</v>
      </c>
      <c r="D813" s="20" t="s">
        <v>959</v>
      </c>
      <c r="E813" s="20" t="s">
        <v>144</v>
      </c>
      <c r="F813" s="6">
        <f>F814</f>
        <v>455.4</v>
      </c>
      <c r="G813" s="6">
        <f t="shared" ref="G813" si="408">G814</f>
        <v>26.7</v>
      </c>
      <c r="H813" s="6">
        <f t="shared" si="387"/>
        <v>5.8629776021080371</v>
      </c>
    </row>
    <row r="814" spans="1:12" ht="15.75" x14ac:dyDescent="0.25">
      <c r="A814" s="25" t="s">
        <v>224</v>
      </c>
      <c r="B814" s="20" t="s">
        <v>315</v>
      </c>
      <c r="C814" s="20" t="s">
        <v>134</v>
      </c>
      <c r="D814" s="20" t="s">
        <v>959</v>
      </c>
      <c r="E814" s="20" t="s">
        <v>225</v>
      </c>
      <c r="F814" s="6">
        <f>'Пр.4 ведом.20'!G353</f>
        <v>455.4</v>
      </c>
      <c r="G814" s="6">
        <f>'Пр.4 ведом.20'!H353</f>
        <v>26.7</v>
      </c>
      <c r="H814" s="6">
        <f t="shared" si="387"/>
        <v>5.8629776021080371</v>
      </c>
    </row>
    <row r="815" spans="1:12" ht="31.5" x14ac:dyDescent="0.25">
      <c r="A815" s="25" t="s">
        <v>147</v>
      </c>
      <c r="B815" s="20" t="s">
        <v>315</v>
      </c>
      <c r="C815" s="20" t="s">
        <v>134</v>
      </c>
      <c r="D815" s="20" t="s">
        <v>959</v>
      </c>
      <c r="E815" s="20" t="s">
        <v>148</v>
      </c>
      <c r="F815" s="6">
        <f>F816</f>
        <v>715.6</v>
      </c>
      <c r="G815" s="6">
        <f t="shared" ref="G815" si="409">G816</f>
        <v>352.1</v>
      </c>
      <c r="H815" s="6">
        <f t="shared" si="387"/>
        <v>49.203465623253216</v>
      </c>
    </row>
    <row r="816" spans="1:12" ht="31.5" x14ac:dyDescent="0.25">
      <c r="A816" s="25" t="s">
        <v>149</v>
      </c>
      <c r="B816" s="20" t="s">
        <v>315</v>
      </c>
      <c r="C816" s="20" t="s">
        <v>134</v>
      </c>
      <c r="D816" s="20" t="s">
        <v>959</v>
      </c>
      <c r="E816" s="20" t="s">
        <v>150</v>
      </c>
      <c r="F816" s="6">
        <f>'Пр.4 ведом.20'!G355</f>
        <v>715.6</v>
      </c>
      <c r="G816" s="6">
        <f>'Пр.4 ведом.20'!H355</f>
        <v>352.1</v>
      </c>
      <c r="H816" s="6">
        <f t="shared" si="387"/>
        <v>49.203465623253216</v>
      </c>
    </row>
    <row r="817" spans="1:8" ht="31.5" x14ac:dyDescent="0.25">
      <c r="A817" s="23" t="s">
        <v>1076</v>
      </c>
      <c r="B817" s="24" t="s">
        <v>315</v>
      </c>
      <c r="C817" s="24" t="s">
        <v>134</v>
      </c>
      <c r="D817" s="24" t="s">
        <v>1164</v>
      </c>
      <c r="E817" s="24"/>
      <c r="F817" s="4">
        <f>F818</f>
        <v>588</v>
      </c>
      <c r="G817" s="4">
        <f t="shared" ref="G817:G819" si="410">G818</f>
        <v>578.9</v>
      </c>
      <c r="H817" s="4">
        <f t="shared" si="387"/>
        <v>98.452380952380949</v>
      </c>
    </row>
    <row r="818" spans="1:8" ht="47.25" x14ac:dyDescent="0.25">
      <c r="A818" s="25" t="s">
        <v>885</v>
      </c>
      <c r="B818" s="20" t="s">
        <v>315</v>
      </c>
      <c r="C818" s="20" t="s">
        <v>134</v>
      </c>
      <c r="D818" s="20" t="s">
        <v>1165</v>
      </c>
      <c r="E818" s="20"/>
      <c r="F818" s="6">
        <f>F819</f>
        <v>588</v>
      </c>
      <c r="G818" s="6">
        <f t="shared" si="410"/>
        <v>578.9</v>
      </c>
      <c r="H818" s="6">
        <f t="shared" si="387"/>
        <v>98.452380952380949</v>
      </c>
    </row>
    <row r="819" spans="1:8" ht="78.75" x14ac:dyDescent="0.25">
      <c r="A819" s="25" t="s">
        <v>143</v>
      </c>
      <c r="B819" s="20" t="s">
        <v>315</v>
      </c>
      <c r="C819" s="20" t="s">
        <v>134</v>
      </c>
      <c r="D819" s="20" t="s">
        <v>1165</v>
      </c>
      <c r="E819" s="20" t="s">
        <v>144</v>
      </c>
      <c r="F819" s="6">
        <f>F820</f>
        <v>588</v>
      </c>
      <c r="G819" s="6">
        <f t="shared" si="410"/>
        <v>578.9</v>
      </c>
      <c r="H819" s="6">
        <f t="shared" si="387"/>
        <v>98.452380952380949</v>
      </c>
    </row>
    <row r="820" spans="1:8" ht="31.5" x14ac:dyDescent="0.25">
      <c r="A820" s="25" t="s">
        <v>145</v>
      </c>
      <c r="B820" s="20" t="s">
        <v>315</v>
      </c>
      <c r="C820" s="20" t="s">
        <v>134</v>
      </c>
      <c r="D820" s="20" t="s">
        <v>1165</v>
      </c>
      <c r="E820" s="20" t="s">
        <v>225</v>
      </c>
      <c r="F820" s="6">
        <f>'Пр.4 ведом.20'!G359</f>
        <v>588</v>
      </c>
      <c r="G820" s="6">
        <f>'Пр.4 ведом.20'!H359</f>
        <v>578.9</v>
      </c>
      <c r="H820" s="6">
        <f t="shared" si="387"/>
        <v>98.452380952380949</v>
      </c>
    </row>
    <row r="821" spans="1:8" ht="47.25" x14ac:dyDescent="0.25">
      <c r="A821" s="230" t="s">
        <v>971</v>
      </c>
      <c r="B821" s="24" t="s">
        <v>315</v>
      </c>
      <c r="C821" s="24" t="s">
        <v>134</v>
      </c>
      <c r="D821" s="24" t="s">
        <v>1166</v>
      </c>
      <c r="E821" s="24"/>
      <c r="F821" s="4">
        <f>F825+F822</f>
        <v>824.3</v>
      </c>
      <c r="G821" s="4">
        <f t="shared" ref="G821" si="411">G825+G822</f>
        <v>150.43</v>
      </c>
      <c r="H821" s="4">
        <f t="shared" si="387"/>
        <v>18.249423753487807</v>
      </c>
    </row>
    <row r="822" spans="1:8" s="331" customFormat="1" ht="94.5" x14ac:dyDescent="0.25">
      <c r="A822" s="31" t="s">
        <v>309</v>
      </c>
      <c r="B822" s="338" t="s">
        <v>315</v>
      </c>
      <c r="C822" s="338" t="s">
        <v>134</v>
      </c>
      <c r="D822" s="338" t="s">
        <v>1523</v>
      </c>
      <c r="E822" s="338"/>
      <c r="F822" s="6">
        <f>F823</f>
        <v>749.3</v>
      </c>
      <c r="G822" s="6">
        <f t="shared" ref="G822:G823" si="412">G823</f>
        <v>75.86</v>
      </c>
      <c r="H822" s="6">
        <f t="shared" si="387"/>
        <v>10.124115841452022</v>
      </c>
    </row>
    <row r="823" spans="1:8" s="331" customFormat="1" ht="78.75" x14ac:dyDescent="0.25">
      <c r="A823" s="342" t="s">
        <v>143</v>
      </c>
      <c r="B823" s="338" t="s">
        <v>315</v>
      </c>
      <c r="C823" s="338" t="s">
        <v>134</v>
      </c>
      <c r="D823" s="338" t="s">
        <v>1523</v>
      </c>
      <c r="E823" s="338" t="s">
        <v>144</v>
      </c>
      <c r="F823" s="6">
        <f>F824</f>
        <v>749.3</v>
      </c>
      <c r="G823" s="6">
        <f t="shared" si="412"/>
        <v>75.86</v>
      </c>
      <c r="H823" s="6">
        <f t="shared" si="387"/>
        <v>10.124115841452022</v>
      </c>
    </row>
    <row r="824" spans="1:8" s="331" customFormat="1" ht="22.7" customHeight="1" x14ac:dyDescent="0.25">
      <c r="A824" s="342" t="s">
        <v>224</v>
      </c>
      <c r="B824" s="338" t="s">
        <v>315</v>
      </c>
      <c r="C824" s="338" t="s">
        <v>134</v>
      </c>
      <c r="D824" s="338" t="s">
        <v>1523</v>
      </c>
      <c r="E824" s="338" t="s">
        <v>225</v>
      </c>
      <c r="F824" s="6">
        <f>'Пр.4 ведом.20'!G363</f>
        <v>749.3</v>
      </c>
      <c r="G824" s="6">
        <f>'Пр.4 ведом.20'!H363</f>
        <v>75.86</v>
      </c>
      <c r="H824" s="6">
        <f t="shared" si="387"/>
        <v>10.124115841452022</v>
      </c>
    </row>
    <row r="825" spans="1:8" s="1" customFormat="1" ht="94.5" x14ac:dyDescent="0.25">
      <c r="A825" s="31" t="s">
        <v>309</v>
      </c>
      <c r="B825" s="20" t="s">
        <v>315</v>
      </c>
      <c r="C825" s="20" t="s">
        <v>134</v>
      </c>
      <c r="D825" s="20" t="s">
        <v>1167</v>
      </c>
      <c r="E825" s="20"/>
      <c r="F825" s="6">
        <f>F826</f>
        <v>75</v>
      </c>
      <c r="G825" s="6">
        <f t="shared" ref="G825:G826" si="413">G826</f>
        <v>74.569999999999993</v>
      </c>
      <c r="H825" s="6">
        <f t="shared" si="387"/>
        <v>99.426666666666648</v>
      </c>
    </row>
    <row r="826" spans="1:8" ht="78.75" x14ac:dyDescent="0.25">
      <c r="A826" s="25" t="s">
        <v>143</v>
      </c>
      <c r="B826" s="20" t="s">
        <v>315</v>
      </c>
      <c r="C826" s="20" t="s">
        <v>134</v>
      </c>
      <c r="D826" s="20" t="s">
        <v>1167</v>
      </c>
      <c r="E826" s="20" t="s">
        <v>144</v>
      </c>
      <c r="F826" s="6">
        <f>F827</f>
        <v>75</v>
      </c>
      <c r="G826" s="6">
        <f t="shared" si="413"/>
        <v>74.569999999999993</v>
      </c>
      <c r="H826" s="6">
        <f t="shared" si="387"/>
        <v>99.426666666666648</v>
      </c>
    </row>
    <row r="827" spans="1:8" ht="15.75" x14ac:dyDescent="0.25">
      <c r="A827" s="25" t="s">
        <v>224</v>
      </c>
      <c r="B827" s="20" t="s">
        <v>315</v>
      </c>
      <c r="C827" s="20" t="s">
        <v>134</v>
      </c>
      <c r="D827" s="20" t="s">
        <v>1167</v>
      </c>
      <c r="E827" s="20" t="s">
        <v>225</v>
      </c>
      <c r="F827" s="6">
        <f>'Пр.4 ведом.20'!G366</f>
        <v>75</v>
      </c>
      <c r="G827" s="6">
        <f>'Пр.4 ведом.20'!H366</f>
        <v>74.569999999999993</v>
      </c>
      <c r="H827" s="6">
        <f t="shared" si="387"/>
        <v>99.426666666666648</v>
      </c>
    </row>
    <row r="828" spans="1:8" s="217" customFormat="1" ht="31.5" x14ac:dyDescent="0.25">
      <c r="A828" s="279" t="s">
        <v>1404</v>
      </c>
      <c r="B828" s="24" t="s">
        <v>315</v>
      </c>
      <c r="C828" s="24" t="s">
        <v>134</v>
      </c>
      <c r="D828" s="24" t="s">
        <v>1405</v>
      </c>
      <c r="E828" s="24"/>
      <c r="F828" s="21">
        <f>F829</f>
        <v>1330.923</v>
      </c>
      <c r="G828" s="339">
        <f t="shared" ref="G828:G830" si="414">G829</f>
        <v>0</v>
      </c>
      <c r="H828" s="4">
        <f t="shared" si="387"/>
        <v>0</v>
      </c>
    </row>
    <row r="829" spans="1:8" s="217" customFormat="1" ht="47.25" x14ac:dyDescent="0.25">
      <c r="A829" s="280" t="s">
        <v>1406</v>
      </c>
      <c r="B829" s="20" t="s">
        <v>315</v>
      </c>
      <c r="C829" s="20" t="s">
        <v>134</v>
      </c>
      <c r="D829" s="20" t="s">
        <v>1407</v>
      </c>
      <c r="E829" s="20"/>
      <c r="F829" s="26">
        <f>F830</f>
        <v>1330.923</v>
      </c>
      <c r="G829" s="343">
        <f t="shared" si="414"/>
        <v>0</v>
      </c>
      <c r="H829" s="6">
        <f t="shared" si="387"/>
        <v>0</v>
      </c>
    </row>
    <row r="830" spans="1:8" s="217" customFormat="1" ht="31.5" x14ac:dyDescent="0.25">
      <c r="A830" s="25" t="s">
        <v>147</v>
      </c>
      <c r="B830" s="20" t="s">
        <v>315</v>
      </c>
      <c r="C830" s="20" t="s">
        <v>134</v>
      </c>
      <c r="D830" s="20" t="s">
        <v>1407</v>
      </c>
      <c r="E830" s="20" t="s">
        <v>148</v>
      </c>
      <c r="F830" s="26">
        <f>F831</f>
        <v>1330.923</v>
      </c>
      <c r="G830" s="343">
        <f t="shared" si="414"/>
        <v>0</v>
      </c>
      <c r="H830" s="6">
        <f t="shared" si="387"/>
        <v>0</v>
      </c>
    </row>
    <row r="831" spans="1:8" s="217" customFormat="1" ht="31.5" x14ac:dyDescent="0.25">
      <c r="A831" s="25" t="s">
        <v>149</v>
      </c>
      <c r="B831" s="20" t="s">
        <v>315</v>
      </c>
      <c r="C831" s="20" t="s">
        <v>134</v>
      </c>
      <c r="D831" s="20" t="s">
        <v>1407</v>
      </c>
      <c r="E831" s="20" t="s">
        <v>150</v>
      </c>
      <c r="F831" s="26">
        <f>'Пр.4 ведом.20'!G370</f>
        <v>1330.923</v>
      </c>
      <c r="G831" s="343">
        <f>'Пр.4 ведом.20'!H370</f>
        <v>0</v>
      </c>
      <c r="H831" s="6">
        <f t="shared" si="387"/>
        <v>0</v>
      </c>
    </row>
    <row r="832" spans="1:8" ht="31.5" x14ac:dyDescent="0.25">
      <c r="A832" s="23" t="s">
        <v>328</v>
      </c>
      <c r="B832" s="24" t="s">
        <v>315</v>
      </c>
      <c r="C832" s="24" t="s">
        <v>134</v>
      </c>
      <c r="D832" s="24" t="s">
        <v>329</v>
      </c>
      <c r="E832" s="24"/>
      <c r="F832" s="4">
        <f>F833+F841+F845+F849+F856</f>
        <v>23670.9</v>
      </c>
      <c r="G832" s="4">
        <f t="shared" ref="G832" si="415">G833+G841+G845+G849+G856</f>
        <v>10070.670000000002</v>
      </c>
      <c r="H832" s="4">
        <f t="shared" si="387"/>
        <v>42.544516685043668</v>
      </c>
    </row>
    <row r="833" spans="1:8" ht="34.5" customHeight="1" x14ac:dyDescent="0.25">
      <c r="A833" s="23" t="s">
        <v>956</v>
      </c>
      <c r="B833" s="24" t="s">
        <v>315</v>
      </c>
      <c r="C833" s="24" t="s">
        <v>134</v>
      </c>
      <c r="D833" s="24" t="s">
        <v>960</v>
      </c>
      <c r="E833" s="24"/>
      <c r="F833" s="4">
        <f>F834</f>
        <v>21449.200000000001</v>
      </c>
      <c r="G833" s="4">
        <f t="shared" ref="G833" si="416">G834</f>
        <v>9386.19</v>
      </c>
      <c r="H833" s="4">
        <f t="shared" si="387"/>
        <v>43.760093616545142</v>
      </c>
    </row>
    <row r="834" spans="1:8" ht="15.75" x14ac:dyDescent="0.25">
      <c r="A834" s="25" t="s">
        <v>832</v>
      </c>
      <c r="B834" s="20" t="s">
        <v>315</v>
      </c>
      <c r="C834" s="20" t="s">
        <v>134</v>
      </c>
      <c r="D834" s="20" t="s">
        <v>961</v>
      </c>
      <c r="E834" s="20"/>
      <c r="F834" s="6">
        <f>F835+F837+F839</f>
        <v>21449.200000000001</v>
      </c>
      <c r="G834" s="6">
        <f t="shared" ref="G834" si="417">G835+G837+G839</f>
        <v>9386.19</v>
      </c>
      <c r="H834" s="6">
        <f t="shared" si="387"/>
        <v>43.760093616545142</v>
      </c>
    </row>
    <row r="835" spans="1:8" ht="78.75" x14ac:dyDescent="0.25">
      <c r="A835" s="25" t="s">
        <v>143</v>
      </c>
      <c r="B835" s="20" t="s">
        <v>315</v>
      </c>
      <c r="C835" s="20" t="s">
        <v>134</v>
      </c>
      <c r="D835" s="20" t="s">
        <v>961</v>
      </c>
      <c r="E835" s="20" t="s">
        <v>144</v>
      </c>
      <c r="F835" s="6">
        <f>'Пр.4 ведом.20'!G375</f>
        <v>17673.2</v>
      </c>
      <c r="G835" s="6">
        <f>'Пр.4 ведом.20'!H375</f>
        <v>7919.89</v>
      </c>
      <c r="H835" s="6">
        <f t="shared" si="387"/>
        <v>44.812993685354094</v>
      </c>
    </row>
    <row r="836" spans="1:8" ht="15.75" x14ac:dyDescent="0.25">
      <c r="A836" s="25" t="s">
        <v>224</v>
      </c>
      <c r="B836" s="20" t="s">
        <v>315</v>
      </c>
      <c r="C836" s="20" t="s">
        <v>134</v>
      </c>
      <c r="D836" s="20" t="s">
        <v>961</v>
      </c>
      <c r="E836" s="20" t="s">
        <v>225</v>
      </c>
      <c r="F836" s="6">
        <f>'Пр.4 ведом.20'!G375</f>
        <v>17673.2</v>
      </c>
      <c r="G836" s="6">
        <f>'Пр.4 ведом.20'!H375</f>
        <v>7919.89</v>
      </c>
      <c r="H836" s="6">
        <f t="shared" si="387"/>
        <v>44.812993685354094</v>
      </c>
    </row>
    <row r="837" spans="1:8" ht="31.5" x14ac:dyDescent="0.25">
      <c r="A837" s="25" t="s">
        <v>147</v>
      </c>
      <c r="B837" s="20" t="s">
        <v>315</v>
      </c>
      <c r="C837" s="20" t="s">
        <v>134</v>
      </c>
      <c r="D837" s="20" t="s">
        <v>961</v>
      </c>
      <c r="E837" s="20" t="s">
        <v>148</v>
      </c>
      <c r="F837" s="6">
        <f>'Пр.4 ведом.20'!G377</f>
        <v>3749.7</v>
      </c>
      <c r="G837" s="6">
        <f>'Пр.4 ведом.20'!H377</f>
        <v>1446.4</v>
      </c>
      <c r="H837" s="6">
        <f t="shared" si="387"/>
        <v>38.573752566872024</v>
      </c>
    </row>
    <row r="838" spans="1:8" ht="31.5" x14ac:dyDescent="0.25">
      <c r="A838" s="25" t="s">
        <v>149</v>
      </c>
      <c r="B838" s="20" t="s">
        <v>315</v>
      </c>
      <c r="C838" s="20" t="s">
        <v>134</v>
      </c>
      <c r="D838" s="20" t="s">
        <v>961</v>
      </c>
      <c r="E838" s="20" t="s">
        <v>150</v>
      </c>
      <c r="F838" s="6">
        <f>'Пр.4 ведом.20'!G377</f>
        <v>3749.7</v>
      </c>
      <c r="G838" s="6">
        <f>'Пр.4 ведом.20'!H377</f>
        <v>1446.4</v>
      </c>
      <c r="H838" s="6">
        <f t="shared" si="387"/>
        <v>38.573752566872024</v>
      </c>
    </row>
    <row r="839" spans="1:8" ht="15.75" x14ac:dyDescent="0.25">
      <c r="A839" s="25" t="s">
        <v>151</v>
      </c>
      <c r="B839" s="20" t="s">
        <v>315</v>
      </c>
      <c r="C839" s="20" t="s">
        <v>134</v>
      </c>
      <c r="D839" s="20" t="s">
        <v>961</v>
      </c>
      <c r="E839" s="20" t="s">
        <v>161</v>
      </c>
      <c r="F839" s="6">
        <f>'Пр.4 ведом.20'!G379</f>
        <v>26.3</v>
      </c>
      <c r="G839" s="6">
        <f>'Пр.4 ведом.20'!H379</f>
        <v>19.899999999999999</v>
      </c>
      <c r="H839" s="6">
        <f t="shared" si="387"/>
        <v>75.665399239543717</v>
      </c>
    </row>
    <row r="840" spans="1:8" ht="15.75" x14ac:dyDescent="0.25">
      <c r="A840" s="25" t="s">
        <v>584</v>
      </c>
      <c r="B840" s="20" t="s">
        <v>315</v>
      </c>
      <c r="C840" s="20" t="s">
        <v>134</v>
      </c>
      <c r="D840" s="20" t="s">
        <v>961</v>
      </c>
      <c r="E840" s="20" t="s">
        <v>154</v>
      </c>
      <c r="F840" s="6">
        <f>'Пр.4 ведом.20'!G379</f>
        <v>26.3</v>
      </c>
      <c r="G840" s="6">
        <f>'Пр.4 ведом.20'!H379</f>
        <v>19.899999999999999</v>
      </c>
      <c r="H840" s="6">
        <f t="shared" si="387"/>
        <v>75.665399239543717</v>
      </c>
    </row>
    <row r="841" spans="1:8" ht="31.5" x14ac:dyDescent="0.25">
      <c r="A841" s="23" t="s">
        <v>973</v>
      </c>
      <c r="B841" s="24" t="s">
        <v>315</v>
      </c>
      <c r="C841" s="24" t="s">
        <v>134</v>
      </c>
      <c r="D841" s="24" t="s">
        <v>962</v>
      </c>
      <c r="E841" s="24"/>
      <c r="F841" s="4">
        <f>F842</f>
        <v>50</v>
      </c>
      <c r="G841" s="4">
        <f t="shared" ref="G841:G843" si="418">G842</f>
        <v>37.58</v>
      </c>
      <c r="H841" s="4">
        <f t="shared" si="387"/>
        <v>75.16</v>
      </c>
    </row>
    <row r="842" spans="1:8" ht="31.5" x14ac:dyDescent="0.25">
      <c r="A842" s="25" t="s">
        <v>866</v>
      </c>
      <c r="B842" s="20" t="s">
        <v>315</v>
      </c>
      <c r="C842" s="20" t="s">
        <v>134</v>
      </c>
      <c r="D842" s="20" t="s">
        <v>963</v>
      </c>
      <c r="E842" s="20"/>
      <c r="F842" s="6">
        <f>F843</f>
        <v>50</v>
      </c>
      <c r="G842" s="6">
        <f t="shared" si="418"/>
        <v>37.58</v>
      </c>
      <c r="H842" s="6">
        <f t="shared" si="387"/>
        <v>75.16</v>
      </c>
    </row>
    <row r="843" spans="1:8" ht="31.5" x14ac:dyDescent="0.25">
      <c r="A843" s="25" t="s">
        <v>147</v>
      </c>
      <c r="B843" s="20" t="s">
        <v>315</v>
      </c>
      <c r="C843" s="20" t="s">
        <v>134</v>
      </c>
      <c r="D843" s="20" t="s">
        <v>963</v>
      </c>
      <c r="E843" s="20" t="s">
        <v>148</v>
      </c>
      <c r="F843" s="6">
        <f>F844</f>
        <v>50</v>
      </c>
      <c r="G843" s="6">
        <f t="shared" si="418"/>
        <v>37.58</v>
      </c>
      <c r="H843" s="6">
        <f t="shared" ref="H843:H906" si="419">G843/F843*100</f>
        <v>75.16</v>
      </c>
    </row>
    <row r="844" spans="1:8" ht="31.5" x14ac:dyDescent="0.25">
      <c r="A844" s="25" t="s">
        <v>149</v>
      </c>
      <c r="B844" s="20" t="s">
        <v>315</v>
      </c>
      <c r="C844" s="20" t="s">
        <v>134</v>
      </c>
      <c r="D844" s="20" t="s">
        <v>963</v>
      </c>
      <c r="E844" s="20" t="s">
        <v>150</v>
      </c>
      <c r="F844" s="6">
        <f>'Пр.4 ведом.20'!G383</f>
        <v>50</v>
      </c>
      <c r="G844" s="6">
        <f>'Пр.4 ведом.20'!H383</f>
        <v>37.58</v>
      </c>
      <c r="H844" s="6">
        <f t="shared" si="419"/>
        <v>75.16</v>
      </c>
    </row>
    <row r="845" spans="1:8" ht="31.5" x14ac:dyDescent="0.25">
      <c r="A845" s="23" t="s">
        <v>1076</v>
      </c>
      <c r="B845" s="24" t="s">
        <v>315</v>
      </c>
      <c r="C845" s="24" t="s">
        <v>134</v>
      </c>
      <c r="D845" s="24" t="s">
        <v>964</v>
      </c>
      <c r="E845" s="24"/>
      <c r="F845" s="4">
        <f>F846</f>
        <v>507</v>
      </c>
      <c r="G845" s="4">
        <f t="shared" ref="G845:G846" si="420">G846</f>
        <v>245.2</v>
      </c>
      <c r="H845" s="4">
        <f t="shared" si="419"/>
        <v>48.362919132149898</v>
      </c>
    </row>
    <row r="846" spans="1:8" ht="31.7" customHeight="1" x14ac:dyDescent="0.25">
      <c r="A846" s="25" t="s">
        <v>885</v>
      </c>
      <c r="B846" s="20" t="s">
        <v>315</v>
      </c>
      <c r="C846" s="20" t="s">
        <v>134</v>
      </c>
      <c r="D846" s="20" t="s">
        <v>1252</v>
      </c>
      <c r="E846" s="20"/>
      <c r="F846" s="6">
        <f>F847</f>
        <v>507</v>
      </c>
      <c r="G846" s="6">
        <f t="shared" si="420"/>
        <v>245.2</v>
      </c>
      <c r="H846" s="6">
        <f t="shared" si="419"/>
        <v>48.362919132149898</v>
      </c>
    </row>
    <row r="847" spans="1:8" ht="31.7" customHeight="1" x14ac:dyDescent="0.25">
      <c r="A847" s="25" t="s">
        <v>143</v>
      </c>
      <c r="B847" s="20" t="s">
        <v>315</v>
      </c>
      <c r="C847" s="20" t="s">
        <v>134</v>
      </c>
      <c r="D847" s="20" t="s">
        <v>1252</v>
      </c>
      <c r="E847" s="20" t="s">
        <v>144</v>
      </c>
      <c r="F847" s="6">
        <f t="shared" ref="F847:G847" si="421">F848</f>
        <v>507</v>
      </c>
      <c r="G847" s="6">
        <f t="shared" si="421"/>
        <v>245.2</v>
      </c>
      <c r="H847" s="6">
        <f t="shared" si="419"/>
        <v>48.362919132149898</v>
      </c>
    </row>
    <row r="848" spans="1:8" ht="38.25" customHeight="1" x14ac:dyDescent="0.25">
      <c r="A848" s="25" t="s">
        <v>145</v>
      </c>
      <c r="B848" s="20" t="s">
        <v>315</v>
      </c>
      <c r="C848" s="20" t="s">
        <v>134</v>
      </c>
      <c r="D848" s="20" t="s">
        <v>1252</v>
      </c>
      <c r="E848" s="20" t="s">
        <v>225</v>
      </c>
      <c r="F848" s="6">
        <f>'Пр.4 ведом.20'!G387</f>
        <v>507</v>
      </c>
      <c r="G848" s="6">
        <f>'Пр.4 ведом.20'!H387</f>
        <v>245.2</v>
      </c>
      <c r="H848" s="6">
        <f t="shared" si="419"/>
        <v>48.362919132149898</v>
      </c>
    </row>
    <row r="849" spans="1:8" ht="32.25" customHeight="1" x14ac:dyDescent="0.25">
      <c r="A849" s="23" t="s">
        <v>1163</v>
      </c>
      <c r="B849" s="24" t="s">
        <v>315</v>
      </c>
      <c r="C849" s="24" t="s">
        <v>134</v>
      </c>
      <c r="D849" s="24" t="s">
        <v>965</v>
      </c>
      <c r="E849" s="24"/>
      <c r="F849" s="4">
        <f>F850+F853</f>
        <v>68.7</v>
      </c>
      <c r="G849" s="4">
        <f t="shared" ref="G849" si="422">G850+G853</f>
        <v>0</v>
      </c>
      <c r="H849" s="4">
        <f t="shared" si="419"/>
        <v>0</v>
      </c>
    </row>
    <row r="850" spans="1:8" ht="15.75" customHeight="1" x14ac:dyDescent="0.25">
      <c r="A850" s="25" t="s">
        <v>345</v>
      </c>
      <c r="B850" s="20" t="s">
        <v>315</v>
      </c>
      <c r="C850" s="20" t="s">
        <v>134</v>
      </c>
      <c r="D850" s="20" t="s">
        <v>1253</v>
      </c>
      <c r="E850" s="20"/>
      <c r="F850" s="6">
        <f>F851</f>
        <v>3.5</v>
      </c>
      <c r="G850" s="6">
        <f t="shared" ref="G850:G851" si="423">G851</f>
        <v>0</v>
      </c>
      <c r="H850" s="6">
        <f t="shared" si="419"/>
        <v>0</v>
      </c>
    </row>
    <row r="851" spans="1:8" ht="31.5" x14ac:dyDescent="0.25">
      <c r="A851" s="25" t="s">
        <v>147</v>
      </c>
      <c r="B851" s="20" t="s">
        <v>315</v>
      </c>
      <c r="C851" s="20" t="s">
        <v>134</v>
      </c>
      <c r="D851" s="20" t="s">
        <v>1253</v>
      </c>
      <c r="E851" s="20" t="s">
        <v>148</v>
      </c>
      <c r="F851" s="6">
        <f>F852</f>
        <v>3.5</v>
      </c>
      <c r="G851" s="6">
        <f t="shared" si="423"/>
        <v>0</v>
      </c>
      <c r="H851" s="6">
        <f t="shared" si="419"/>
        <v>0</v>
      </c>
    </row>
    <row r="852" spans="1:8" ht="31.7" customHeight="1" x14ac:dyDescent="0.25">
      <c r="A852" s="25" t="s">
        <v>149</v>
      </c>
      <c r="B852" s="20" t="s">
        <v>315</v>
      </c>
      <c r="C852" s="20" t="s">
        <v>134</v>
      </c>
      <c r="D852" s="20" t="s">
        <v>1253</v>
      </c>
      <c r="E852" s="20" t="s">
        <v>150</v>
      </c>
      <c r="F852" s="6">
        <f>'Пр.4 ведом.20'!G391</f>
        <v>3.5</v>
      </c>
      <c r="G852" s="6">
        <f>'Пр.4 ведом.20'!H391</f>
        <v>0</v>
      </c>
      <c r="H852" s="6">
        <f t="shared" si="419"/>
        <v>0</v>
      </c>
    </row>
    <row r="853" spans="1:8" ht="18.75" customHeight="1" x14ac:dyDescent="0.25">
      <c r="A853" s="25" t="s">
        <v>345</v>
      </c>
      <c r="B853" s="20" t="s">
        <v>315</v>
      </c>
      <c r="C853" s="20" t="s">
        <v>134</v>
      </c>
      <c r="D853" s="20" t="s">
        <v>1254</v>
      </c>
      <c r="E853" s="20"/>
      <c r="F853" s="6">
        <f>F854</f>
        <v>65.2</v>
      </c>
      <c r="G853" s="6">
        <f t="shared" ref="G853" si="424">G854</f>
        <v>0</v>
      </c>
      <c r="H853" s="6">
        <f t="shared" si="419"/>
        <v>0</v>
      </c>
    </row>
    <row r="854" spans="1:8" ht="31.5" x14ac:dyDescent="0.25">
      <c r="A854" s="25" t="s">
        <v>147</v>
      </c>
      <c r="B854" s="20" t="s">
        <v>315</v>
      </c>
      <c r="C854" s="20" t="s">
        <v>134</v>
      </c>
      <c r="D854" s="20" t="s">
        <v>1254</v>
      </c>
      <c r="E854" s="20" t="s">
        <v>148</v>
      </c>
      <c r="F854" s="6">
        <f t="shared" ref="F854:G854" si="425">F855</f>
        <v>65.2</v>
      </c>
      <c r="G854" s="6">
        <f t="shared" si="425"/>
        <v>0</v>
      </c>
      <c r="H854" s="6">
        <f t="shared" si="419"/>
        <v>0</v>
      </c>
    </row>
    <row r="855" spans="1:8" ht="31.5" x14ac:dyDescent="0.25">
      <c r="A855" s="25" t="s">
        <v>149</v>
      </c>
      <c r="B855" s="20" t="s">
        <v>315</v>
      </c>
      <c r="C855" s="20" t="s">
        <v>134</v>
      </c>
      <c r="D855" s="20" t="s">
        <v>1254</v>
      </c>
      <c r="E855" s="38">
        <v>240</v>
      </c>
      <c r="F855" s="6">
        <f>'Пр.4 ведом.20'!G394</f>
        <v>65.2</v>
      </c>
      <c r="G855" s="6">
        <f>'Пр.4 ведом.20'!H394</f>
        <v>0</v>
      </c>
      <c r="H855" s="6">
        <f t="shared" si="419"/>
        <v>0</v>
      </c>
    </row>
    <row r="856" spans="1:8" ht="47.25" x14ac:dyDescent="0.25">
      <c r="A856" s="230" t="s">
        <v>971</v>
      </c>
      <c r="B856" s="24" t="s">
        <v>315</v>
      </c>
      <c r="C856" s="24" t="s">
        <v>134</v>
      </c>
      <c r="D856" s="24" t="s">
        <v>1255</v>
      </c>
      <c r="E856" s="24"/>
      <c r="F856" s="310">
        <f>F860+F863+F857</f>
        <v>1596</v>
      </c>
      <c r="G856" s="310">
        <f t="shared" ref="G856" si="426">G860+G863+G857</f>
        <v>401.7</v>
      </c>
      <c r="H856" s="4">
        <f t="shared" si="419"/>
        <v>25.169172932330824</v>
      </c>
    </row>
    <row r="857" spans="1:8" s="331" customFormat="1" ht="94.5" x14ac:dyDescent="0.25">
      <c r="A857" s="31" t="s">
        <v>309</v>
      </c>
      <c r="B857" s="338" t="s">
        <v>315</v>
      </c>
      <c r="C857" s="338" t="s">
        <v>134</v>
      </c>
      <c r="D857" s="338" t="s">
        <v>1524</v>
      </c>
      <c r="E857" s="338"/>
      <c r="F857" s="308">
        <f>F858</f>
        <v>1159.3</v>
      </c>
      <c r="G857" s="308">
        <f t="shared" ref="G857:G858" si="427">G858</f>
        <v>176</v>
      </c>
      <c r="H857" s="6">
        <f t="shared" si="419"/>
        <v>15.181575088415425</v>
      </c>
    </row>
    <row r="858" spans="1:8" s="331" customFormat="1" ht="78.75" x14ac:dyDescent="0.25">
      <c r="A858" s="342" t="s">
        <v>143</v>
      </c>
      <c r="B858" s="338" t="s">
        <v>315</v>
      </c>
      <c r="C858" s="338" t="s">
        <v>134</v>
      </c>
      <c r="D858" s="338" t="s">
        <v>1524</v>
      </c>
      <c r="E858" s="338" t="s">
        <v>144</v>
      </c>
      <c r="F858" s="308">
        <f>F859</f>
        <v>1159.3</v>
      </c>
      <c r="G858" s="308">
        <f t="shared" si="427"/>
        <v>176</v>
      </c>
      <c r="H858" s="6">
        <f t="shared" si="419"/>
        <v>15.181575088415425</v>
      </c>
    </row>
    <row r="859" spans="1:8" s="331" customFormat="1" ht="15.75" x14ac:dyDescent="0.25">
      <c r="A859" s="342" t="s">
        <v>224</v>
      </c>
      <c r="B859" s="338" t="s">
        <v>315</v>
      </c>
      <c r="C859" s="338" t="s">
        <v>134</v>
      </c>
      <c r="D859" s="338" t="s">
        <v>1524</v>
      </c>
      <c r="E859" s="338" t="s">
        <v>225</v>
      </c>
      <c r="F859" s="308">
        <f>'Пр.4 ведом.20'!G398</f>
        <v>1159.3</v>
      </c>
      <c r="G859" s="308">
        <f>'Пр.4 ведом.20'!H398</f>
        <v>176</v>
      </c>
      <c r="H859" s="6">
        <f t="shared" si="419"/>
        <v>15.181575088415425</v>
      </c>
    </row>
    <row r="860" spans="1:8" ht="31.7" customHeight="1" x14ac:dyDescent="0.25">
      <c r="A860" s="25" t="s">
        <v>347</v>
      </c>
      <c r="B860" s="20" t="s">
        <v>315</v>
      </c>
      <c r="C860" s="20" t="s">
        <v>134</v>
      </c>
      <c r="D860" s="20" t="s">
        <v>1256</v>
      </c>
      <c r="E860" s="20"/>
      <c r="F860" s="308">
        <f t="shared" ref="F860:G861" si="428">F861</f>
        <v>319.7</v>
      </c>
      <c r="G860" s="308">
        <f t="shared" si="428"/>
        <v>108.7</v>
      </c>
      <c r="H860" s="6">
        <f t="shared" si="419"/>
        <v>34.000625586487331</v>
      </c>
    </row>
    <row r="861" spans="1:8" ht="47.25" customHeight="1" x14ac:dyDescent="0.25">
      <c r="A861" s="25" t="s">
        <v>143</v>
      </c>
      <c r="B861" s="20" t="s">
        <v>315</v>
      </c>
      <c r="C861" s="20" t="s">
        <v>134</v>
      </c>
      <c r="D861" s="20" t="s">
        <v>1256</v>
      </c>
      <c r="E861" s="20" t="s">
        <v>144</v>
      </c>
      <c r="F861" s="308">
        <f>F862</f>
        <v>319.7</v>
      </c>
      <c r="G861" s="308">
        <f t="shared" si="428"/>
        <v>108.7</v>
      </c>
      <c r="H861" s="6">
        <f t="shared" si="419"/>
        <v>34.000625586487331</v>
      </c>
    </row>
    <row r="862" spans="1:8" ht="15.75" x14ac:dyDescent="0.25">
      <c r="A862" s="25" t="s">
        <v>224</v>
      </c>
      <c r="B862" s="20" t="s">
        <v>315</v>
      </c>
      <c r="C862" s="20" t="s">
        <v>134</v>
      </c>
      <c r="D862" s="20" t="s">
        <v>1256</v>
      </c>
      <c r="E862" s="20" t="s">
        <v>225</v>
      </c>
      <c r="F862" s="6">
        <f>'Пр.4 ведом.20'!G401</f>
        <v>319.7</v>
      </c>
      <c r="G862" s="6">
        <f>'Пр.4 ведом.20'!H401</f>
        <v>108.7</v>
      </c>
      <c r="H862" s="6">
        <f t="shared" si="419"/>
        <v>34.000625586487331</v>
      </c>
    </row>
    <row r="863" spans="1:8" ht="94.5" x14ac:dyDescent="0.25">
      <c r="A863" s="31" t="s">
        <v>309</v>
      </c>
      <c r="B863" s="20" t="s">
        <v>315</v>
      </c>
      <c r="C863" s="20" t="s">
        <v>134</v>
      </c>
      <c r="D863" s="20" t="s">
        <v>1257</v>
      </c>
      <c r="E863" s="20"/>
      <c r="F863" s="6">
        <f>F864</f>
        <v>117</v>
      </c>
      <c r="G863" s="6">
        <f t="shared" ref="G863" si="429">G864</f>
        <v>117</v>
      </c>
      <c r="H863" s="6">
        <f t="shared" si="419"/>
        <v>100</v>
      </c>
    </row>
    <row r="864" spans="1:8" ht="78.75" x14ac:dyDescent="0.25">
      <c r="A864" s="25" t="s">
        <v>143</v>
      </c>
      <c r="B864" s="20" t="s">
        <v>315</v>
      </c>
      <c r="C864" s="20" t="s">
        <v>134</v>
      </c>
      <c r="D864" s="20" t="s">
        <v>1257</v>
      </c>
      <c r="E864" s="20" t="s">
        <v>144</v>
      </c>
      <c r="F864" s="308">
        <f t="shared" ref="F864:G864" si="430">F865</f>
        <v>117</v>
      </c>
      <c r="G864" s="308">
        <f t="shared" si="430"/>
        <v>117</v>
      </c>
      <c r="H864" s="6">
        <f t="shared" si="419"/>
        <v>100</v>
      </c>
    </row>
    <row r="865" spans="1:8" ht="15.75" x14ac:dyDescent="0.25">
      <c r="A865" s="25" t="s">
        <v>224</v>
      </c>
      <c r="B865" s="20" t="s">
        <v>315</v>
      </c>
      <c r="C865" s="20" t="s">
        <v>134</v>
      </c>
      <c r="D865" s="20" t="s">
        <v>1257</v>
      </c>
      <c r="E865" s="20" t="s">
        <v>225</v>
      </c>
      <c r="F865" s="308">
        <f>'Пр.4 ведом.20'!G404</f>
        <v>117</v>
      </c>
      <c r="G865" s="308">
        <f>'Пр.4 ведом.20'!H404</f>
        <v>117</v>
      </c>
      <c r="H865" s="6">
        <f t="shared" si="419"/>
        <v>100</v>
      </c>
    </row>
    <row r="866" spans="1:8" ht="63" x14ac:dyDescent="0.25">
      <c r="A866" s="34" t="s">
        <v>805</v>
      </c>
      <c r="B866" s="24" t="s">
        <v>315</v>
      </c>
      <c r="C866" s="24" t="s">
        <v>134</v>
      </c>
      <c r="D866" s="24" t="s">
        <v>340</v>
      </c>
      <c r="E866" s="24"/>
      <c r="F866" s="310">
        <f>F867</f>
        <v>100</v>
      </c>
      <c r="G866" s="310">
        <f t="shared" ref="G866:G869" si="431">G867</f>
        <v>0</v>
      </c>
      <c r="H866" s="4">
        <f t="shared" si="419"/>
        <v>0</v>
      </c>
    </row>
    <row r="867" spans="1:8" ht="63" x14ac:dyDescent="0.25">
      <c r="A867" s="34" t="s">
        <v>1191</v>
      </c>
      <c r="B867" s="24" t="s">
        <v>315</v>
      </c>
      <c r="C867" s="24" t="s">
        <v>134</v>
      </c>
      <c r="D867" s="24" t="s">
        <v>1025</v>
      </c>
      <c r="E867" s="24"/>
      <c r="F867" s="4">
        <f>F868</f>
        <v>100</v>
      </c>
      <c r="G867" s="4">
        <f t="shared" si="431"/>
        <v>0</v>
      </c>
      <c r="H867" s="4">
        <f t="shared" si="419"/>
        <v>0</v>
      </c>
    </row>
    <row r="868" spans="1:8" ht="47.25" x14ac:dyDescent="0.25">
      <c r="A868" s="31" t="s">
        <v>1272</v>
      </c>
      <c r="B868" s="20" t="s">
        <v>315</v>
      </c>
      <c r="C868" s="20" t="s">
        <v>134</v>
      </c>
      <c r="D868" s="20" t="s">
        <v>1192</v>
      </c>
      <c r="E868" s="20"/>
      <c r="F868" s="6">
        <f>F869</f>
        <v>100</v>
      </c>
      <c r="G868" s="6">
        <f t="shared" si="431"/>
        <v>0</v>
      </c>
      <c r="H868" s="6">
        <f t="shared" si="419"/>
        <v>0</v>
      </c>
    </row>
    <row r="869" spans="1:8" ht="31.5" x14ac:dyDescent="0.25">
      <c r="A869" s="25" t="s">
        <v>147</v>
      </c>
      <c r="B869" s="20" t="s">
        <v>315</v>
      </c>
      <c r="C869" s="20" t="s">
        <v>134</v>
      </c>
      <c r="D869" s="20" t="s">
        <v>1192</v>
      </c>
      <c r="E869" s="20" t="s">
        <v>148</v>
      </c>
      <c r="F869" s="6">
        <f>F870</f>
        <v>100</v>
      </c>
      <c r="G869" s="6">
        <f t="shared" si="431"/>
        <v>0</v>
      </c>
      <c r="H869" s="6">
        <f t="shared" si="419"/>
        <v>0</v>
      </c>
    </row>
    <row r="870" spans="1:8" ht="31.5" x14ac:dyDescent="0.25">
      <c r="A870" s="25" t="s">
        <v>149</v>
      </c>
      <c r="B870" s="20" t="s">
        <v>315</v>
      </c>
      <c r="C870" s="20" t="s">
        <v>134</v>
      </c>
      <c r="D870" s="20" t="s">
        <v>1192</v>
      </c>
      <c r="E870" s="20" t="s">
        <v>150</v>
      </c>
      <c r="F870" s="6">
        <f>'Пр.4 ведом.20'!G409</f>
        <v>100</v>
      </c>
      <c r="G870" s="6">
        <f>'Пр.4 ведом.20'!H409</f>
        <v>0</v>
      </c>
      <c r="H870" s="6">
        <f t="shared" si="419"/>
        <v>0</v>
      </c>
    </row>
    <row r="871" spans="1:8" ht="63" x14ac:dyDescent="0.25">
      <c r="A871" s="41" t="s">
        <v>1179</v>
      </c>
      <c r="B871" s="24" t="s">
        <v>315</v>
      </c>
      <c r="C871" s="24" t="s">
        <v>134</v>
      </c>
      <c r="D871" s="24" t="s">
        <v>728</v>
      </c>
      <c r="E871" s="235"/>
      <c r="F871" s="4">
        <f t="shared" ref="F871:G874" si="432">F872</f>
        <v>834.6</v>
      </c>
      <c r="G871" s="4">
        <f t="shared" si="432"/>
        <v>337.76</v>
      </c>
      <c r="H871" s="4">
        <f t="shared" si="419"/>
        <v>40.469686077162706</v>
      </c>
    </row>
    <row r="872" spans="1:8" ht="47.25" x14ac:dyDescent="0.25">
      <c r="A872" s="41" t="s">
        <v>949</v>
      </c>
      <c r="B872" s="24" t="s">
        <v>315</v>
      </c>
      <c r="C872" s="24" t="s">
        <v>134</v>
      </c>
      <c r="D872" s="24" t="s">
        <v>947</v>
      </c>
      <c r="E872" s="235"/>
      <c r="F872" s="4">
        <f>F873</f>
        <v>834.6</v>
      </c>
      <c r="G872" s="4">
        <f t="shared" si="432"/>
        <v>337.76</v>
      </c>
      <c r="H872" s="4">
        <f t="shared" si="419"/>
        <v>40.469686077162706</v>
      </c>
    </row>
    <row r="873" spans="1:8" ht="47.25" x14ac:dyDescent="0.25">
      <c r="A873" s="99" t="s">
        <v>1187</v>
      </c>
      <c r="B873" s="20" t="s">
        <v>315</v>
      </c>
      <c r="C873" s="20" t="s">
        <v>134</v>
      </c>
      <c r="D873" s="20" t="s">
        <v>948</v>
      </c>
      <c r="E873" s="32"/>
      <c r="F873" s="308">
        <f>F874</f>
        <v>834.6</v>
      </c>
      <c r="G873" s="308">
        <f t="shared" si="432"/>
        <v>337.76</v>
      </c>
      <c r="H873" s="6">
        <f t="shared" si="419"/>
        <v>40.469686077162706</v>
      </c>
    </row>
    <row r="874" spans="1:8" ht="31.5" x14ac:dyDescent="0.25">
      <c r="A874" s="25" t="s">
        <v>147</v>
      </c>
      <c r="B874" s="20" t="s">
        <v>315</v>
      </c>
      <c r="C874" s="20" t="s">
        <v>134</v>
      </c>
      <c r="D874" s="20" t="s">
        <v>948</v>
      </c>
      <c r="E874" s="32" t="s">
        <v>148</v>
      </c>
      <c r="F874" s="6">
        <f>F875</f>
        <v>834.6</v>
      </c>
      <c r="G874" s="6">
        <f t="shared" si="432"/>
        <v>337.76</v>
      </c>
      <c r="H874" s="6">
        <f t="shared" si="419"/>
        <v>40.469686077162706</v>
      </c>
    </row>
    <row r="875" spans="1:8" ht="31.5" x14ac:dyDescent="0.25">
      <c r="A875" s="25" t="s">
        <v>149</v>
      </c>
      <c r="B875" s="20" t="s">
        <v>315</v>
      </c>
      <c r="C875" s="20" t="s">
        <v>134</v>
      </c>
      <c r="D875" s="20" t="s">
        <v>948</v>
      </c>
      <c r="E875" s="32" t="s">
        <v>150</v>
      </c>
      <c r="F875" s="6">
        <f>'Пр.4 ведом.20'!G414</f>
        <v>834.6</v>
      </c>
      <c r="G875" s="6">
        <f>'Пр.4 ведом.20'!H414</f>
        <v>337.76</v>
      </c>
      <c r="H875" s="6">
        <f t="shared" si="419"/>
        <v>40.469686077162706</v>
      </c>
    </row>
    <row r="876" spans="1:8" s="217" customFormat="1" ht="31.5" x14ac:dyDescent="0.25">
      <c r="A876" s="23" t="s">
        <v>349</v>
      </c>
      <c r="B876" s="24" t="s">
        <v>315</v>
      </c>
      <c r="C876" s="24" t="s">
        <v>166</v>
      </c>
      <c r="D876" s="24"/>
      <c r="E876" s="32"/>
      <c r="F876" s="4">
        <f>F877+F887+F899</f>
        <v>17894.599999999999</v>
      </c>
      <c r="G876" s="4">
        <f t="shared" ref="G876" si="433">G877+G887+G899</f>
        <v>8331.4500000000007</v>
      </c>
      <c r="H876" s="4">
        <f t="shared" si="419"/>
        <v>46.558458976451007</v>
      </c>
    </row>
    <row r="877" spans="1:8" s="217" customFormat="1" ht="31.5" x14ac:dyDescent="0.25">
      <c r="A877" s="23" t="s">
        <v>990</v>
      </c>
      <c r="B877" s="24" t="s">
        <v>315</v>
      </c>
      <c r="C877" s="24" t="s">
        <v>166</v>
      </c>
      <c r="D877" s="24" t="s">
        <v>904</v>
      </c>
      <c r="E877" s="32"/>
      <c r="F877" s="4">
        <f>F878</f>
        <v>7272.5</v>
      </c>
      <c r="G877" s="4">
        <f t="shared" ref="G877" si="434">G878</f>
        <v>3139.3</v>
      </c>
      <c r="H877" s="4">
        <f t="shared" si="419"/>
        <v>43.166723960123754</v>
      </c>
    </row>
    <row r="878" spans="1:8" s="217" customFormat="1" ht="15.75" x14ac:dyDescent="0.25">
      <c r="A878" s="23" t="s">
        <v>991</v>
      </c>
      <c r="B878" s="24" t="s">
        <v>315</v>
      </c>
      <c r="C878" s="24" t="s">
        <v>166</v>
      </c>
      <c r="D878" s="24" t="s">
        <v>905</v>
      </c>
      <c r="E878" s="32"/>
      <c r="F878" s="4">
        <f>F879+F884</f>
        <v>7272.5</v>
      </c>
      <c r="G878" s="4">
        <f t="shared" ref="G878" si="435">G879+G884</f>
        <v>3139.3</v>
      </c>
      <c r="H878" s="4">
        <f t="shared" si="419"/>
        <v>43.166723960123754</v>
      </c>
    </row>
    <row r="879" spans="1:8" s="217" customFormat="1" ht="31.5" x14ac:dyDescent="0.25">
      <c r="A879" s="25" t="s">
        <v>967</v>
      </c>
      <c r="B879" s="20" t="s">
        <v>315</v>
      </c>
      <c r="C879" s="20" t="s">
        <v>166</v>
      </c>
      <c r="D879" s="20" t="s">
        <v>906</v>
      </c>
      <c r="E879" s="32"/>
      <c r="F879" s="6">
        <f>F880+F882</f>
        <v>7146.5</v>
      </c>
      <c r="G879" s="6">
        <f t="shared" ref="G879" si="436">G880+G882</f>
        <v>3139.3</v>
      </c>
      <c r="H879" s="6">
        <f t="shared" si="419"/>
        <v>43.927796823619957</v>
      </c>
    </row>
    <row r="880" spans="1:8" s="217" customFormat="1" ht="78.75" x14ac:dyDescent="0.25">
      <c r="A880" s="25" t="s">
        <v>143</v>
      </c>
      <c r="B880" s="20" t="s">
        <v>315</v>
      </c>
      <c r="C880" s="20" t="s">
        <v>166</v>
      </c>
      <c r="D880" s="20" t="s">
        <v>906</v>
      </c>
      <c r="E880" s="32" t="s">
        <v>144</v>
      </c>
      <c r="F880" s="6">
        <f>F881</f>
        <v>7146.5</v>
      </c>
      <c r="G880" s="6">
        <f t="shared" ref="G880" si="437">G881</f>
        <v>3139.3</v>
      </c>
      <c r="H880" s="6">
        <f t="shared" si="419"/>
        <v>43.927796823619957</v>
      </c>
    </row>
    <row r="881" spans="1:8" ht="31.5" x14ac:dyDescent="0.25">
      <c r="A881" s="25" t="s">
        <v>145</v>
      </c>
      <c r="B881" s="20" t="s">
        <v>315</v>
      </c>
      <c r="C881" s="20" t="s">
        <v>166</v>
      </c>
      <c r="D881" s="20" t="s">
        <v>906</v>
      </c>
      <c r="E881" s="40" t="s">
        <v>146</v>
      </c>
      <c r="F881" s="6">
        <f>'Пр.4 ведом.20'!G420</f>
        <v>7146.5</v>
      </c>
      <c r="G881" s="6">
        <f>'Пр.4 ведом.20'!H420</f>
        <v>3139.3</v>
      </c>
      <c r="H881" s="6">
        <f t="shared" si="419"/>
        <v>43.927796823619957</v>
      </c>
    </row>
    <row r="882" spans="1:8" ht="31.5" x14ac:dyDescent="0.25">
      <c r="A882" s="25" t="s">
        <v>147</v>
      </c>
      <c r="B882" s="20" t="s">
        <v>315</v>
      </c>
      <c r="C882" s="20" t="s">
        <v>166</v>
      </c>
      <c r="D882" s="20" t="s">
        <v>906</v>
      </c>
      <c r="E882" s="40" t="s">
        <v>148</v>
      </c>
      <c r="F882" s="6">
        <f>F883</f>
        <v>0</v>
      </c>
      <c r="G882" s="6">
        <f t="shared" ref="G882" si="438">G883</f>
        <v>0</v>
      </c>
      <c r="H882" s="6" t="e">
        <f t="shared" si="419"/>
        <v>#DIV/0!</v>
      </c>
    </row>
    <row r="883" spans="1:8" ht="31.5" x14ac:dyDescent="0.25">
      <c r="A883" s="25" t="s">
        <v>149</v>
      </c>
      <c r="B883" s="20" t="s">
        <v>315</v>
      </c>
      <c r="C883" s="20" t="s">
        <v>166</v>
      </c>
      <c r="D883" s="20" t="s">
        <v>906</v>
      </c>
      <c r="E883" s="40" t="s">
        <v>150</v>
      </c>
      <c r="F883" s="6">
        <f>'Пр.4 ведом.20'!G422</f>
        <v>0</v>
      </c>
      <c r="G883" s="6">
        <f>'Пр.4 ведом.20'!H422</f>
        <v>0</v>
      </c>
      <c r="H883" s="6" t="e">
        <f t="shared" si="419"/>
        <v>#DIV/0!</v>
      </c>
    </row>
    <row r="884" spans="1:8" ht="47.25" x14ac:dyDescent="0.25">
      <c r="A884" s="25" t="s">
        <v>885</v>
      </c>
      <c r="B884" s="20" t="s">
        <v>315</v>
      </c>
      <c r="C884" s="20" t="s">
        <v>166</v>
      </c>
      <c r="D884" s="20" t="s">
        <v>908</v>
      </c>
      <c r="E884" s="40"/>
      <c r="F884" s="6">
        <f>F885</f>
        <v>126</v>
      </c>
      <c r="G884" s="6">
        <f t="shared" ref="G884" si="439">G885</f>
        <v>0</v>
      </c>
      <c r="H884" s="6">
        <f t="shared" si="419"/>
        <v>0</v>
      </c>
    </row>
    <row r="885" spans="1:8" ht="78.75" x14ac:dyDescent="0.25">
      <c r="A885" s="25" t="s">
        <v>143</v>
      </c>
      <c r="B885" s="20" t="s">
        <v>315</v>
      </c>
      <c r="C885" s="20" t="s">
        <v>166</v>
      </c>
      <c r="D885" s="20" t="s">
        <v>908</v>
      </c>
      <c r="E885" s="40" t="s">
        <v>144</v>
      </c>
      <c r="F885" s="6">
        <f t="shared" ref="F885:G885" si="440">F886</f>
        <v>126</v>
      </c>
      <c r="G885" s="6">
        <f t="shared" si="440"/>
        <v>0</v>
      </c>
      <c r="H885" s="6">
        <f t="shared" si="419"/>
        <v>0</v>
      </c>
    </row>
    <row r="886" spans="1:8" ht="31.5" x14ac:dyDescent="0.25">
      <c r="A886" s="25" t="s">
        <v>145</v>
      </c>
      <c r="B886" s="20" t="s">
        <v>315</v>
      </c>
      <c r="C886" s="20" t="s">
        <v>166</v>
      </c>
      <c r="D886" s="20" t="s">
        <v>908</v>
      </c>
      <c r="E886" s="40" t="s">
        <v>146</v>
      </c>
      <c r="F886" s="6">
        <f>'Пр.4 ведом.20'!G425</f>
        <v>126</v>
      </c>
      <c r="G886" s="6">
        <f>'Пр.4 ведом.20'!H425</f>
        <v>0</v>
      </c>
      <c r="H886" s="6">
        <f t="shared" si="419"/>
        <v>0</v>
      </c>
    </row>
    <row r="887" spans="1:8" ht="15.75" x14ac:dyDescent="0.25">
      <c r="A887" s="23" t="s">
        <v>999</v>
      </c>
      <c r="B887" s="24" t="s">
        <v>315</v>
      </c>
      <c r="C887" s="24" t="s">
        <v>166</v>
      </c>
      <c r="D887" s="24" t="s">
        <v>912</v>
      </c>
      <c r="E887" s="40"/>
      <c r="F887" s="4">
        <f t="shared" ref="F887:G887" si="441">F888</f>
        <v>10362.1</v>
      </c>
      <c r="G887" s="4">
        <f t="shared" si="441"/>
        <v>5192.1500000000005</v>
      </c>
      <c r="H887" s="4">
        <f t="shared" si="419"/>
        <v>50.107121143397585</v>
      </c>
    </row>
    <row r="888" spans="1:8" ht="31.5" x14ac:dyDescent="0.25">
      <c r="A888" s="23" t="s">
        <v>1002</v>
      </c>
      <c r="B888" s="24" t="s">
        <v>315</v>
      </c>
      <c r="C888" s="24" t="s">
        <v>166</v>
      </c>
      <c r="D888" s="24" t="s">
        <v>987</v>
      </c>
      <c r="E888" s="40"/>
      <c r="F888" s="4">
        <f>F889+F896</f>
        <v>10362.1</v>
      </c>
      <c r="G888" s="4">
        <f t="shared" ref="G888" si="442">G889+G896</f>
        <v>5192.1500000000005</v>
      </c>
      <c r="H888" s="4">
        <f t="shared" si="419"/>
        <v>50.107121143397585</v>
      </c>
    </row>
    <row r="889" spans="1:8" ht="31.5" x14ac:dyDescent="0.25">
      <c r="A889" s="25" t="s">
        <v>974</v>
      </c>
      <c r="B889" s="20" t="s">
        <v>315</v>
      </c>
      <c r="C889" s="20" t="s">
        <v>166</v>
      </c>
      <c r="D889" s="20" t="s">
        <v>988</v>
      </c>
      <c r="E889" s="40"/>
      <c r="F889" s="6">
        <f>F890+F892+F894</f>
        <v>10152.1</v>
      </c>
      <c r="G889" s="6">
        <f t="shared" ref="G889" si="443">G890+G892+G894</f>
        <v>5013.55</v>
      </c>
      <c r="H889" s="6">
        <f t="shared" si="419"/>
        <v>49.384363826203447</v>
      </c>
    </row>
    <row r="890" spans="1:8" ht="78.75" x14ac:dyDescent="0.25">
      <c r="A890" s="25" t="s">
        <v>143</v>
      </c>
      <c r="B890" s="20" t="s">
        <v>315</v>
      </c>
      <c r="C890" s="20" t="s">
        <v>166</v>
      </c>
      <c r="D890" s="20" t="s">
        <v>988</v>
      </c>
      <c r="E890" s="40" t="s">
        <v>144</v>
      </c>
      <c r="F890" s="6">
        <f t="shared" ref="F890:G890" si="444">F891</f>
        <v>8201.1</v>
      </c>
      <c r="G890" s="6">
        <f t="shared" si="444"/>
        <v>4135.25</v>
      </c>
      <c r="H890" s="6">
        <f t="shared" si="419"/>
        <v>50.423113972515878</v>
      </c>
    </row>
    <row r="891" spans="1:8" ht="21.75" customHeight="1" x14ac:dyDescent="0.25">
      <c r="A891" s="25" t="s">
        <v>358</v>
      </c>
      <c r="B891" s="20" t="s">
        <v>315</v>
      </c>
      <c r="C891" s="20" t="s">
        <v>166</v>
      </c>
      <c r="D891" s="20" t="s">
        <v>988</v>
      </c>
      <c r="E891" s="40" t="s">
        <v>225</v>
      </c>
      <c r="F891" s="6">
        <f>'Пр.4 ведом.20'!G430</f>
        <v>8201.1</v>
      </c>
      <c r="G891" s="6">
        <f>'Пр.4 ведом.20'!H430</f>
        <v>4135.25</v>
      </c>
      <c r="H891" s="6">
        <f t="shared" si="419"/>
        <v>50.423113972515878</v>
      </c>
    </row>
    <row r="892" spans="1:8" ht="31.5" x14ac:dyDescent="0.25">
      <c r="A892" s="25" t="s">
        <v>147</v>
      </c>
      <c r="B892" s="20" t="s">
        <v>315</v>
      </c>
      <c r="C892" s="20" t="s">
        <v>166</v>
      </c>
      <c r="D892" s="20" t="s">
        <v>988</v>
      </c>
      <c r="E892" s="40" t="s">
        <v>148</v>
      </c>
      <c r="F892" s="6">
        <f t="shared" ref="F892:G894" si="445">F893</f>
        <v>1933.9</v>
      </c>
      <c r="G892" s="6">
        <f t="shared" si="445"/>
        <v>862.5</v>
      </c>
      <c r="H892" s="6">
        <f t="shared" si="419"/>
        <v>44.598996845752104</v>
      </c>
    </row>
    <row r="893" spans="1:8" ht="31.5" x14ac:dyDescent="0.25">
      <c r="A893" s="25" t="s">
        <v>149</v>
      </c>
      <c r="B893" s="20" t="s">
        <v>315</v>
      </c>
      <c r="C893" s="20" t="s">
        <v>166</v>
      </c>
      <c r="D893" s="20" t="s">
        <v>988</v>
      </c>
      <c r="E893" s="40" t="s">
        <v>150</v>
      </c>
      <c r="F893" s="6">
        <f>'Пр.4 ведом.20'!G432</f>
        <v>1933.9</v>
      </c>
      <c r="G893" s="6">
        <f>'Пр.4 ведом.20'!H432</f>
        <v>862.5</v>
      </c>
      <c r="H893" s="6">
        <f t="shared" si="419"/>
        <v>44.598996845752104</v>
      </c>
    </row>
    <row r="894" spans="1:8" ht="15.75" x14ac:dyDescent="0.25">
      <c r="A894" s="25" t="s">
        <v>151</v>
      </c>
      <c r="B894" s="20" t="s">
        <v>315</v>
      </c>
      <c r="C894" s="20" t="s">
        <v>166</v>
      </c>
      <c r="D894" s="20" t="s">
        <v>988</v>
      </c>
      <c r="E894" s="40" t="s">
        <v>161</v>
      </c>
      <c r="F894" s="6">
        <f t="shared" si="445"/>
        <v>17.100000000000001</v>
      </c>
      <c r="G894" s="6">
        <f t="shared" si="445"/>
        <v>15.8</v>
      </c>
      <c r="H894" s="6">
        <f t="shared" si="419"/>
        <v>92.397660818713447</v>
      </c>
    </row>
    <row r="895" spans="1:8" ht="15.75" x14ac:dyDescent="0.25">
      <c r="A895" s="25" t="s">
        <v>584</v>
      </c>
      <c r="B895" s="20" t="s">
        <v>315</v>
      </c>
      <c r="C895" s="20" t="s">
        <v>166</v>
      </c>
      <c r="D895" s="20" t="s">
        <v>988</v>
      </c>
      <c r="E895" s="40" t="s">
        <v>154</v>
      </c>
      <c r="F895" s="6">
        <f>'Пр.4 ведом.20'!G434</f>
        <v>17.100000000000001</v>
      </c>
      <c r="G895" s="6">
        <f>'Пр.4 ведом.20'!H434</f>
        <v>15.8</v>
      </c>
      <c r="H895" s="6">
        <f t="shared" si="419"/>
        <v>92.397660818713447</v>
      </c>
    </row>
    <row r="896" spans="1:8" ht="47.25" x14ac:dyDescent="0.25">
      <c r="A896" s="25" t="s">
        <v>885</v>
      </c>
      <c r="B896" s="20" t="s">
        <v>315</v>
      </c>
      <c r="C896" s="20" t="s">
        <v>166</v>
      </c>
      <c r="D896" s="20" t="s">
        <v>989</v>
      </c>
      <c r="E896" s="40"/>
      <c r="F896" s="6">
        <f>F897</f>
        <v>210</v>
      </c>
      <c r="G896" s="6">
        <f t="shared" ref="G896" si="446">G897</f>
        <v>178.6</v>
      </c>
      <c r="H896" s="6">
        <f t="shared" si="419"/>
        <v>85.047619047619051</v>
      </c>
    </row>
    <row r="897" spans="1:8" ht="78.75" x14ac:dyDescent="0.25">
      <c r="A897" s="25" t="s">
        <v>143</v>
      </c>
      <c r="B897" s="20" t="s">
        <v>315</v>
      </c>
      <c r="C897" s="20" t="s">
        <v>166</v>
      </c>
      <c r="D897" s="20" t="s">
        <v>989</v>
      </c>
      <c r="E897" s="40" t="s">
        <v>144</v>
      </c>
      <c r="F897" s="6">
        <f t="shared" ref="F897:G897" si="447">F898</f>
        <v>210</v>
      </c>
      <c r="G897" s="6">
        <f t="shared" si="447"/>
        <v>178.6</v>
      </c>
      <c r="H897" s="6">
        <f t="shared" si="419"/>
        <v>85.047619047619051</v>
      </c>
    </row>
    <row r="898" spans="1:8" ht="31.5" x14ac:dyDescent="0.25">
      <c r="A898" s="25" t="s">
        <v>145</v>
      </c>
      <c r="B898" s="20" t="s">
        <v>315</v>
      </c>
      <c r="C898" s="20" t="s">
        <v>166</v>
      </c>
      <c r="D898" s="20" t="s">
        <v>989</v>
      </c>
      <c r="E898" s="40" t="s">
        <v>225</v>
      </c>
      <c r="F898" s="6">
        <f>'Пр.4 ведом.20'!G437</f>
        <v>210</v>
      </c>
      <c r="G898" s="6">
        <f>'Пр.4 ведом.20'!H437</f>
        <v>178.6</v>
      </c>
      <c r="H898" s="6">
        <f t="shared" si="419"/>
        <v>85.047619047619051</v>
      </c>
    </row>
    <row r="899" spans="1:8" ht="47.25" x14ac:dyDescent="0.25">
      <c r="A899" s="23" t="s">
        <v>359</v>
      </c>
      <c r="B899" s="24" t="s">
        <v>315</v>
      </c>
      <c r="C899" s="24" t="s">
        <v>166</v>
      </c>
      <c r="D899" s="24" t="s">
        <v>360</v>
      </c>
      <c r="E899" s="40"/>
      <c r="F899" s="4">
        <f>F900</f>
        <v>260</v>
      </c>
      <c r="G899" s="4">
        <f t="shared" ref="G899:G901" si="448">G900</f>
        <v>0</v>
      </c>
      <c r="H899" s="4">
        <f t="shared" si="419"/>
        <v>0</v>
      </c>
    </row>
    <row r="900" spans="1:8" ht="47.25" x14ac:dyDescent="0.25">
      <c r="A900" s="23" t="s">
        <v>380</v>
      </c>
      <c r="B900" s="24" t="s">
        <v>315</v>
      </c>
      <c r="C900" s="24" t="s">
        <v>166</v>
      </c>
      <c r="D900" s="24" t="s">
        <v>381</v>
      </c>
      <c r="E900" s="40"/>
      <c r="F900" s="4">
        <f>F901</f>
        <v>260</v>
      </c>
      <c r="G900" s="4">
        <f t="shared" si="448"/>
        <v>0</v>
      </c>
      <c r="H900" s="4">
        <f t="shared" si="419"/>
        <v>0</v>
      </c>
    </row>
    <row r="901" spans="1:8" ht="31.5" x14ac:dyDescent="0.25">
      <c r="A901" s="23" t="s">
        <v>1147</v>
      </c>
      <c r="B901" s="24" t="s">
        <v>315</v>
      </c>
      <c r="C901" s="24" t="s">
        <v>166</v>
      </c>
      <c r="D901" s="24" t="s">
        <v>966</v>
      </c>
      <c r="E901" s="40"/>
      <c r="F901" s="4">
        <f>F902</f>
        <v>260</v>
      </c>
      <c r="G901" s="4">
        <f t="shared" si="448"/>
        <v>0</v>
      </c>
      <c r="H901" s="4">
        <f t="shared" si="419"/>
        <v>0</v>
      </c>
    </row>
    <row r="902" spans="1:8" ht="31.5" x14ac:dyDescent="0.25">
      <c r="A902" s="25" t="s">
        <v>1146</v>
      </c>
      <c r="B902" s="20" t="s">
        <v>315</v>
      </c>
      <c r="C902" s="20" t="s">
        <v>166</v>
      </c>
      <c r="D902" s="20" t="s">
        <v>1223</v>
      </c>
      <c r="E902" s="40"/>
      <c r="F902" s="6">
        <f t="shared" ref="F902:G903" si="449">F903</f>
        <v>260</v>
      </c>
      <c r="G902" s="6">
        <f t="shared" si="449"/>
        <v>0</v>
      </c>
      <c r="H902" s="6">
        <f t="shared" si="419"/>
        <v>0</v>
      </c>
    </row>
    <row r="903" spans="1:8" ht="31.5" x14ac:dyDescent="0.25">
      <c r="A903" s="25" t="s">
        <v>147</v>
      </c>
      <c r="B903" s="20" t="s">
        <v>315</v>
      </c>
      <c r="C903" s="20" t="s">
        <v>166</v>
      </c>
      <c r="D903" s="20" t="s">
        <v>1223</v>
      </c>
      <c r="E903" s="40"/>
      <c r="F903" s="6">
        <f>F904</f>
        <v>260</v>
      </c>
      <c r="G903" s="6">
        <f t="shared" si="449"/>
        <v>0</v>
      </c>
      <c r="H903" s="6">
        <f t="shared" si="419"/>
        <v>0</v>
      </c>
    </row>
    <row r="904" spans="1:8" ht="31.5" x14ac:dyDescent="0.25">
      <c r="A904" s="25" t="s">
        <v>149</v>
      </c>
      <c r="B904" s="20" t="s">
        <v>315</v>
      </c>
      <c r="C904" s="20" t="s">
        <v>166</v>
      </c>
      <c r="D904" s="20" t="s">
        <v>1223</v>
      </c>
      <c r="E904" s="40"/>
      <c r="F904" s="6">
        <f>'Пр.4 ведом.20'!G443</f>
        <v>260</v>
      </c>
      <c r="G904" s="6">
        <f>'Пр.4 ведом.20'!H443</f>
        <v>0</v>
      </c>
      <c r="H904" s="6">
        <f t="shared" si="419"/>
        <v>0</v>
      </c>
    </row>
    <row r="905" spans="1:8" s="217" customFormat="1" ht="15.75" x14ac:dyDescent="0.25">
      <c r="A905" s="23" t="s">
        <v>259</v>
      </c>
      <c r="B905" s="24" t="s">
        <v>260</v>
      </c>
      <c r="C905" s="24"/>
      <c r="D905" s="24"/>
      <c r="E905" s="24"/>
      <c r="F905" s="4">
        <f>F906+F912+F950+F945</f>
        <v>16582.400000000001</v>
      </c>
      <c r="G905" s="4">
        <f t="shared" ref="G905" si="450">G906+G912+G950+G945</f>
        <v>7785.95</v>
      </c>
      <c r="H905" s="4">
        <f t="shared" si="419"/>
        <v>46.953094847549202</v>
      </c>
    </row>
    <row r="906" spans="1:8" s="217" customFormat="1" ht="15.75" x14ac:dyDescent="0.25">
      <c r="A906" s="23" t="s">
        <v>261</v>
      </c>
      <c r="B906" s="24" t="s">
        <v>260</v>
      </c>
      <c r="C906" s="24" t="s">
        <v>134</v>
      </c>
      <c r="D906" s="24"/>
      <c r="E906" s="24"/>
      <c r="F906" s="4">
        <f>F907</f>
        <v>9456</v>
      </c>
      <c r="G906" s="4">
        <f t="shared" ref="G906:G910" si="451">G907</f>
        <v>5985.4</v>
      </c>
      <c r="H906" s="4">
        <f t="shared" si="419"/>
        <v>63.29737732656514</v>
      </c>
    </row>
    <row r="907" spans="1:8" s="217" customFormat="1" ht="15.75" x14ac:dyDescent="0.25">
      <c r="A907" s="23" t="s">
        <v>157</v>
      </c>
      <c r="B907" s="24" t="s">
        <v>260</v>
      </c>
      <c r="C907" s="24" t="s">
        <v>134</v>
      </c>
      <c r="D907" s="24" t="s">
        <v>912</v>
      </c>
      <c r="E907" s="24"/>
      <c r="F907" s="4">
        <f>F908</f>
        <v>9456</v>
      </c>
      <c r="G907" s="4">
        <f t="shared" si="451"/>
        <v>5985.4</v>
      </c>
      <c r="H907" s="4">
        <f t="shared" ref="H907:H970" si="452">G907/F907*100</f>
        <v>63.29737732656514</v>
      </c>
    </row>
    <row r="908" spans="1:8" s="217" customFormat="1" ht="31.5" x14ac:dyDescent="0.25">
      <c r="A908" s="23" t="s">
        <v>916</v>
      </c>
      <c r="B908" s="24" t="s">
        <v>260</v>
      </c>
      <c r="C908" s="24" t="s">
        <v>134</v>
      </c>
      <c r="D908" s="24" t="s">
        <v>911</v>
      </c>
      <c r="E908" s="24"/>
      <c r="F908" s="4">
        <f>F909</f>
        <v>9456</v>
      </c>
      <c r="G908" s="4">
        <f t="shared" si="451"/>
        <v>5985.4</v>
      </c>
      <c r="H908" s="4">
        <f t="shared" si="452"/>
        <v>63.29737732656514</v>
      </c>
    </row>
    <row r="909" spans="1:8" s="217" customFormat="1" ht="15.75" x14ac:dyDescent="0.25">
      <c r="A909" s="25" t="s">
        <v>262</v>
      </c>
      <c r="B909" s="20" t="s">
        <v>260</v>
      </c>
      <c r="C909" s="20" t="s">
        <v>134</v>
      </c>
      <c r="D909" s="20" t="s">
        <v>928</v>
      </c>
      <c r="E909" s="20"/>
      <c r="F909" s="6">
        <f>F910</f>
        <v>9456</v>
      </c>
      <c r="G909" s="6">
        <f t="shared" si="451"/>
        <v>5985.4</v>
      </c>
      <c r="H909" s="6">
        <f t="shared" si="452"/>
        <v>63.29737732656514</v>
      </c>
    </row>
    <row r="910" spans="1:8" s="217" customFormat="1" ht="18" customHeight="1" x14ac:dyDescent="0.25">
      <c r="A910" s="25" t="s">
        <v>264</v>
      </c>
      <c r="B910" s="20" t="s">
        <v>260</v>
      </c>
      <c r="C910" s="20" t="s">
        <v>134</v>
      </c>
      <c r="D910" s="20" t="s">
        <v>928</v>
      </c>
      <c r="E910" s="20" t="s">
        <v>265</v>
      </c>
      <c r="F910" s="6">
        <f>F911</f>
        <v>9456</v>
      </c>
      <c r="G910" s="6">
        <f t="shared" si="451"/>
        <v>5985.4</v>
      </c>
      <c r="H910" s="6">
        <f t="shared" si="452"/>
        <v>63.29737732656514</v>
      </c>
    </row>
    <row r="911" spans="1:8" s="217" customFormat="1" ht="31.5" x14ac:dyDescent="0.25">
      <c r="A911" s="25" t="s">
        <v>266</v>
      </c>
      <c r="B911" s="20" t="s">
        <v>260</v>
      </c>
      <c r="C911" s="20" t="s">
        <v>134</v>
      </c>
      <c r="D911" s="20" t="s">
        <v>928</v>
      </c>
      <c r="E911" s="20" t="s">
        <v>267</v>
      </c>
      <c r="F911" s="6">
        <f>'Пр.4 ведом.20'!G196</f>
        <v>9456</v>
      </c>
      <c r="G911" s="6">
        <f>'Пр.4 ведом.20'!H196</f>
        <v>5985.4</v>
      </c>
      <c r="H911" s="6">
        <f t="shared" si="452"/>
        <v>63.29737732656514</v>
      </c>
    </row>
    <row r="912" spans="1:8" ht="15.75" x14ac:dyDescent="0.25">
      <c r="A912" s="23" t="s">
        <v>268</v>
      </c>
      <c r="B912" s="24" t="s">
        <v>260</v>
      </c>
      <c r="C912" s="24" t="s">
        <v>231</v>
      </c>
      <c r="D912" s="24"/>
      <c r="E912" s="24"/>
      <c r="F912" s="4">
        <f>F913+F940</f>
        <v>1959.2</v>
      </c>
      <c r="G912" s="4">
        <f t="shared" ref="G912" si="453">G913+G940</f>
        <v>475.55</v>
      </c>
      <c r="H912" s="4">
        <f t="shared" si="452"/>
        <v>24.272662311147407</v>
      </c>
    </row>
    <row r="913" spans="1:8" ht="47.25" x14ac:dyDescent="0.25">
      <c r="A913" s="23" t="s">
        <v>359</v>
      </c>
      <c r="B913" s="24" t="s">
        <v>260</v>
      </c>
      <c r="C913" s="24" t="s">
        <v>231</v>
      </c>
      <c r="D913" s="24" t="s">
        <v>360</v>
      </c>
      <c r="E913" s="24"/>
      <c r="F913" s="4">
        <f>F914+F919+F924+F935</f>
        <v>1949.2</v>
      </c>
      <c r="G913" s="4">
        <f t="shared" ref="G913" si="454">G914+G919+G924+G935</f>
        <v>475.55</v>
      </c>
      <c r="H913" s="4">
        <f t="shared" si="452"/>
        <v>24.397188590190847</v>
      </c>
    </row>
    <row r="914" spans="1:8" ht="31.5" x14ac:dyDescent="0.25">
      <c r="A914" s="23" t="s">
        <v>368</v>
      </c>
      <c r="B914" s="24" t="s">
        <v>260</v>
      </c>
      <c r="C914" s="24" t="s">
        <v>231</v>
      </c>
      <c r="D914" s="24" t="s">
        <v>369</v>
      </c>
      <c r="E914" s="24"/>
      <c r="F914" s="4">
        <f t="shared" ref="F914:G916" si="455">F915</f>
        <v>169.20000000000002</v>
      </c>
      <c r="G914" s="4">
        <f t="shared" si="455"/>
        <v>0</v>
      </c>
      <c r="H914" s="4">
        <f t="shared" si="452"/>
        <v>0</v>
      </c>
    </row>
    <row r="915" spans="1:8" ht="30.2" customHeight="1" x14ac:dyDescent="0.25">
      <c r="A915" s="23" t="s">
        <v>976</v>
      </c>
      <c r="B915" s="24" t="s">
        <v>260</v>
      </c>
      <c r="C915" s="24" t="s">
        <v>231</v>
      </c>
      <c r="D915" s="24" t="s">
        <v>975</v>
      </c>
      <c r="E915" s="24"/>
      <c r="F915" s="4">
        <f>F916</f>
        <v>169.20000000000002</v>
      </c>
      <c r="G915" s="4">
        <f t="shared" si="455"/>
        <v>0</v>
      </c>
      <c r="H915" s="4">
        <f t="shared" si="452"/>
        <v>0</v>
      </c>
    </row>
    <row r="916" spans="1:8" ht="31.5" x14ac:dyDescent="0.25">
      <c r="A916" s="25" t="s">
        <v>869</v>
      </c>
      <c r="B916" s="20" t="s">
        <v>260</v>
      </c>
      <c r="C916" s="20" t="s">
        <v>231</v>
      </c>
      <c r="D916" s="20" t="s">
        <v>977</v>
      </c>
      <c r="E916" s="20"/>
      <c r="F916" s="6">
        <f>F917</f>
        <v>169.20000000000002</v>
      </c>
      <c r="G916" s="6">
        <f t="shared" si="455"/>
        <v>0</v>
      </c>
      <c r="H916" s="6">
        <f t="shared" si="452"/>
        <v>0</v>
      </c>
    </row>
    <row r="917" spans="1:8" ht="19.5" customHeight="1" x14ac:dyDescent="0.25">
      <c r="A917" s="25" t="s">
        <v>264</v>
      </c>
      <c r="B917" s="20" t="s">
        <v>260</v>
      </c>
      <c r="C917" s="20" t="s">
        <v>231</v>
      </c>
      <c r="D917" s="20" t="s">
        <v>977</v>
      </c>
      <c r="E917" s="20" t="s">
        <v>265</v>
      </c>
      <c r="F917" s="6">
        <f t="shared" ref="F917:G922" si="456">F918</f>
        <v>169.20000000000002</v>
      </c>
      <c r="G917" s="6">
        <f t="shared" si="456"/>
        <v>0</v>
      </c>
      <c r="H917" s="6">
        <f t="shared" si="452"/>
        <v>0</v>
      </c>
    </row>
    <row r="918" spans="1:8" ht="31.5" x14ac:dyDescent="0.25">
      <c r="A918" s="25" t="s">
        <v>266</v>
      </c>
      <c r="B918" s="20" t="s">
        <v>260</v>
      </c>
      <c r="C918" s="20" t="s">
        <v>231</v>
      </c>
      <c r="D918" s="20" t="s">
        <v>977</v>
      </c>
      <c r="E918" s="20" t="s">
        <v>267</v>
      </c>
      <c r="F918" s="6">
        <f>'Пр.4 ведом.20'!G451</f>
        <v>169.20000000000002</v>
      </c>
      <c r="G918" s="6">
        <f>'Пр.4 ведом.20'!H451</f>
        <v>0</v>
      </c>
      <c r="H918" s="6">
        <f t="shared" si="452"/>
        <v>0</v>
      </c>
    </row>
    <row r="919" spans="1:8" ht="31.5" x14ac:dyDescent="0.25">
      <c r="A919" s="23" t="s">
        <v>371</v>
      </c>
      <c r="B919" s="19">
        <v>10</v>
      </c>
      <c r="C919" s="24" t="s">
        <v>231</v>
      </c>
      <c r="D919" s="24" t="s">
        <v>372</v>
      </c>
      <c r="E919" s="24"/>
      <c r="F919" s="4">
        <f t="shared" si="456"/>
        <v>420</v>
      </c>
      <c r="G919" s="4">
        <f t="shared" si="456"/>
        <v>130</v>
      </c>
      <c r="H919" s="4">
        <f t="shared" si="452"/>
        <v>30.952380952380953</v>
      </c>
    </row>
    <row r="920" spans="1:8" ht="31.5" x14ac:dyDescent="0.25">
      <c r="A920" s="23" t="s">
        <v>1148</v>
      </c>
      <c r="B920" s="19">
        <v>10</v>
      </c>
      <c r="C920" s="24" t="s">
        <v>231</v>
      </c>
      <c r="D920" s="24" t="s">
        <v>978</v>
      </c>
      <c r="E920" s="24"/>
      <c r="F920" s="4">
        <f>F921</f>
        <v>420</v>
      </c>
      <c r="G920" s="4">
        <f t="shared" si="456"/>
        <v>130</v>
      </c>
      <c r="H920" s="4">
        <f t="shared" si="452"/>
        <v>30.952380952380953</v>
      </c>
    </row>
    <row r="921" spans="1:8" ht="15.75" x14ac:dyDescent="0.25">
      <c r="A921" s="25" t="s">
        <v>1203</v>
      </c>
      <c r="B921" s="20" t="s">
        <v>260</v>
      </c>
      <c r="C921" s="20" t="s">
        <v>231</v>
      </c>
      <c r="D921" s="20" t="s">
        <v>979</v>
      </c>
      <c r="E921" s="20"/>
      <c r="F921" s="6">
        <f>F922</f>
        <v>420</v>
      </c>
      <c r="G921" s="6">
        <f t="shared" si="456"/>
        <v>130</v>
      </c>
      <c r="H921" s="6">
        <f t="shared" si="452"/>
        <v>30.952380952380953</v>
      </c>
    </row>
    <row r="922" spans="1:8" ht="18.75" customHeight="1" x14ac:dyDescent="0.25">
      <c r="A922" s="25" t="s">
        <v>264</v>
      </c>
      <c r="B922" s="20" t="s">
        <v>260</v>
      </c>
      <c r="C922" s="20" t="s">
        <v>231</v>
      </c>
      <c r="D922" s="20" t="s">
        <v>979</v>
      </c>
      <c r="E922" s="20" t="s">
        <v>265</v>
      </c>
      <c r="F922" s="6">
        <f>F923</f>
        <v>420</v>
      </c>
      <c r="G922" s="6">
        <f t="shared" si="456"/>
        <v>130</v>
      </c>
      <c r="H922" s="6">
        <f t="shared" si="452"/>
        <v>30.952380952380953</v>
      </c>
    </row>
    <row r="923" spans="1:8" ht="31.7" customHeight="1" x14ac:dyDescent="0.25">
      <c r="A923" s="25" t="s">
        <v>364</v>
      </c>
      <c r="B923" s="20" t="s">
        <v>260</v>
      </c>
      <c r="C923" s="20" t="s">
        <v>231</v>
      </c>
      <c r="D923" s="20" t="s">
        <v>979</v>
      </c>
      <c r="E923" s="20" t="s">
        <v>365</v>
      </c>
      <c r="F923" s="6">
        <f>'Пр.4 ведом.20'!G456</f>
        <v>420</v>
      </c>
      <c r="G923" s="6">
        <f>'Пр.4 ведом.20'!H456</f>
        <v>130</v>
      </c>
      <c r="H923" s="6">
        <f t="shared" si="452"/>
        <v>30.952380952380953</v>
      </c>
    </row>
    <row r="924" spans="1:8" ht="19.5" customHeight="1" x14ac:dyDescent="0.25">
      <c r="A924" s="23" t="s">
        <v>374</v>
      </c>
      <c r="B924" s="19">
        <v>10</v>
      </c>
      <c r="C924" s="24" t="s">
        <v>231</v>
      </c>
      <c r="D924" s="24" t="s">
        <v>375</v>
      </c>
      <c r="E924" s="24"/>
      <c r="F924" s="4">
        <f>F925+F929</f>
        <v>1110</v>
      </c>
      <c r="G924" s="4">
        <f t="shared" ref="G924" si="457">G925+G929</f>
        <v>261.55</v>
      </c>
      <c r="H924" s="4">
        <f t="shared" si="452"/>
        <v>23.563063063063066</v>
      </c>
    </row>
    <row r="925" spans="1:8" ht="31.5" x14ac:dyDescent="0.25">
      <c r="A925" s="23" t="s">
        <v>1205</v>
      </c>
      <c r="B925" s="24" t="s">
        <v>260</v>
      </c>
      <c r="C925" s="24" t="s">
        <v>231</v>
      </c>
      <c r="D925" s="24" t="s">
        <v>981</v>
      </c>
      <c r="E925" s="24"/>
      <c r="F925" s="4">
        <f>F926</f>
        <v>630</v>
      </c>
      <c r="G925" s="4">
        <f t="shared" ref="G925:G926" si="458">G926</f>
        <v>231.15</v>
      </c>
      <c r="H925" s="4">
        <f t="shared" si="452"/>
        <v>36.69047619047619</v>
      </c>
    </row>
    <row r="926" spans="1:8" ht="49.7" customHeight="1" x14ac:dyDescent="0.25">
      <c r="A926" s="99" t="s">
        <v>1206</v>
      </c>
      <c r="B926" s="20" t="s">
        <v>260</v>
      </c>
      <c r="C926" s="20" t="s">
        <v>231</v>
      </c>
      <c r="D926" s="20" t="s">
        <v>982</v>
      </c>
      <c r="E926" s="20"/>
      <c r="F926" s="6">
        <f>F927</f>
        <v>630</v>
      </c>
      <c r="G926" s="6">
        <f t="shared" si="458"/>
        <v>231.15</v>
      </c>
      <c r="H926" s="6">
        <f t="shared" si="452"/>
        <v>36.69047619047619</v>
      </c>
    </row>
    <row r="927" spans="1:8" ht="20.25" customHeight="1" x14ac:dyDescent="0.25">
      <c r="A927" s="25" t="s">
        <v>264</v>
      </c>
      <c r="B927" s="20" t="s">
        <v>260</v>
      </c>
      <c r="C927" s="20" t="s">
        <v>231</v>
      </c>
      <c r="D927" s="20" t="s">
        <v>982</v>
      </c>
      <c r="E927" s="20" t="s">
        <v>265</v>
      </c>
      <c r="F927" s="6">
        <f t="shared" ref="F927:G927" si="459">F928</f>
        <v>630</v>
      </c>
      <c r="G927" s="6">
        <f t="shared" si="459"/>
        <v>231.15</v>
      </c>
      <c r="H927" s="6">
        <f t="shared" si="452"/>
        <v>36.69047619047619</v>
      </c>
    </row>
    <row r="928" spans="1:8" ht="15.75" customHeight="1" x14ac:dyDescent="0.25">
      <c r="A928" s="25" t="s">
        <v>364</v>
      </c>
      <c r="B928" s="20" t="s">
        <v>260</v>
      </c>
      <c r="C928" s="20" t="s">
        <v>231</v>
      </c>
      <c r="D928" s="20" t="s">
        <v>982</v>
      </c>
      <c r="E928" s="20" t="s">
        <v>365</v>
      </c>
      <c r="F928" s="6">
        <f>'Пр.4 ведом.20'!G461</f>
        <v>630</v>
      </c>
      <c r="G928" s="6">
        <f>'Пр.4 ведом.20'!H461</f>
        <v>231.15</v>
      </c>
      <c r="H928" s="6">
        <f t="shared" si="452"/>
        <v>36.69047619047619</v>
      </c>
    </row>
    <row r="929" spans="1:8" ht="34.5" customHeight="1" x14ac:dyDescent="0.25">
      <c r="A929" s="23" t="s">
        <v>980</v>
      </c>
      <c r="B929" s="19">
        <v>10</v>
      </c>
      <c r="C929" s="24" t="s">
        <v>231</v>
      </c>
      <c r="D929" s="24" t="s">
        <v>983</v>
      </c>
      <c r="E929" s="24"/>
      <c r="F929" s="4">
        <f>F930+F933</f>
        <v>480</v>
      </c>
      <c r="G929" s="4">
        <f t="shared" ref="G929" si="460">G930+G933</f>
        <v>30.4</v>
      </c>
      <c r="H929" s="4">
        <f t="shared" si="452"/>
        <v>6.3333333333333321</v>
      </c>
    </row>
    <row r="930" spans="1:8" ht="31.5" x14ac:dyDescent="0.25">
      <c r="A930" s="25" t="s">
        <v>1149</v>
      </c>
      <c r="B930" s="20" t="s">
        <v>260</v>
      </c>
      <c r="C930" s="20" t="s">
        <v>231</v>
      </c>
      <c r="D930" s="20" t="s">
        <v>984</v>
      </c>
      <c r="E930" s="20"/>
      <c r="F930" s="6">
        <f t="shared" ref="F930:G931" si="461">F931</f>
        <v>270</v>
      </c>
      <c r="G930" s="6">
        <f t="shared" si="461"/>
        <v>30.4</v>
      </c>
      <c r="H930" s="6">
        <f t="shared" si="452"/>
        <v>11.25925925925926</v>
      </c>
    </row>
    <row r="931" spans="1:8" ht="31.5" x14ac:dyDescent="0.25">
      <c r="A931" s="25" t="s">
        <v>147</v>
      </c>
      <c r="B931" s="20" t="s">
        <v>260</v>
      </c>
      <c r="C931" s="20" t="s">
        <v>231</v>
      </c>
      <c r="D931" s="20" t="s">
        <v>984</v>
      </c>
      <c r="E931" s="20" t="s">
        <v>148</v>
      </c>
      <c r="F931" s="6">
        <f t="shared" si="461"/>
        <v>270</v>
      </c>
      <c r="G931" s="6">
        <f t="shared" si="461"/>
        <v>30.4</v>
      </c>
      <c r="H931" s="6">
        <f t="shared" si="452"/>
        <v>11.25925925925926</v>
      </c>
    </row>
    <row r="932" spans="1:8" ht="31.5" x14ac:dyDescent="0.25">
      <c r="A932" s="25" t="s">
        <v>149</v>
      </c>
      <c r="B932" s="20" t="s">
        <v>260</v>
      </c>
      <c r="C932" s="20" t="s">
        <v>231</v>
      </c>
      <c r="D932" s="20" t="s">
        <v>984</v>
      </c>
      <c r="E932" s="20" t="s">
        <v>150</v>
      </c>
      <c r="F932" s="6">
        <f>'Пр.4 ведом.20'!G465</f>
        <v>270</v>
      </c>
      <c r="G932" s="6">
        <f>'Пр.4 ведом.20'!H465</f>
        <v>30.4</v>
      </c>
      <c r="H932" s="6">
        <f t="shared" si="452"/>
        <v>11.25925925925926</v>
      </c>
    </row>
    <row r="933" spans="1:8" s="217" customFormat="1" ht="31.5" x14ac:dyDescent="0.25">
      <c r="A933" s="25" t="s">
        <v>264</v>
      </c>
      <c r="B933" s="20" t="s">
        <v>260</v>
      </c>
      <c r="C933" s="20" t="s">
        <v>231</v>
      </c>
      <c r="D933" s="20" t="s">
        <v>984</v>
      </c>
      <c r="E933" s="20" t="s">
        <v>265</v>
      </c>
      <c r="F933" s="26">
        <f>F934</f>
        <v>210</v>
      </c>
      <c r="G933" s="343">
        <f t="shared" ref="G933" si="462">G934</f>
        <v>0</v>
      </c>
      <c r="H933" s="6">
        <f t="shared" si="452"/>
        <v>0</v>
      </c>
    </row>
    <row r="934" spans="1:8" s="217" customFormat="1" ht="31.5" x14ac:dyDescent="0.25">
      <c r="A934" s="25" t="s">
        <v>364</v>
      </c>
      <c r="B934" s="20" t="s">
        <v>260</v>
      </c>
      <c r="C934" s="20" t="s">
        <v>231</v>
      </c>
      <c r="D934" s="20" t="s">
        <v>984</v>
      </c>
      <c r="E934" s="20" t="s">
        <v>365</v>
      </c>
      <c r="F934" s="26">
        <f>'Пр.4 ведом.20'!G467</f>
        <v>210</v>
      </c>
      <c r="G934" s="343">
        <f>'Пр.4 ведом.20'!H467</f>
        <v>0</v>
      </c>
      <c r="H934" s="6">
        <f t="shared" si="452"/>
        <v>0</v>
      </c>
    </row>
    <row r="935" spans="1:8" ht="31.7" customHeight="1" x14ac:dyDescent="0.25">
      <c r="A935" s="23" t="s">
        <v>377</v>
      </c>
      <c r="B935" s="24" t="s">
        <v>260</v>
      </c>
      <c r="C935" s="24" t="s">
        <v>231</v>
      </c>
      <c r="D935" s="24" t="s">
        <v>378</v>
      </c>
      <c r="E935" s="24"/>
      <c r="F935" s="4">
        <f t="shared" ref="F935:G937" si="463">F936</f>
        <v>250</v>
      </c>
      <c r="G935" s="4">
        <f t="shared" si="463"/>
        <v>84</v>
      </c>
      <c r="H935" s="4">
        <f t="shared" si="452"/>
        <v>33.6</v>
      </c>
    </row>
    <row r="936" spans="1:8" ht="31.7" customHeight="1" x14ac:dyDescent="0.25">
      <c r="A936" s="23" t="s">
        <v>1208</v>
      </c>
      <c r="B936" s="24" t="s">
        <v>260</v>
      </c>
      <c r="C936" s="24" t="s">
        <v>231</v>
      </c>
      <c r="D936" s="24" t="s">
        <v>986</v>
      </c>
      <c r="E936" s="24"/>
      <c r="F936" s="4">
        <f t="shared" si="463"/>
        <v>250</v>
      </c>
      <c r="G936" s="4">
        <f t="shared" si="463"/>
        <v>84</v>
      </c>
      <c r="H936" s="4">
        <f t="shared" si="452"/>
        <v>33.6</v>
      </c>
    </row>
    <row r="937" spans="1:8" ht="47.25" customHeight="1" x14ac:dyDescent="0.25">
      <c r="A937" s="25" t="s">
        <v>1207</v>
      </c>
      <c r="B937" s="20" t="s">
        <v>260</v>
      </c>
      <c r="C937" s="20" t="s">
        <v>231</v>
      </c>
      <c r="D937" s="20" t="s">
        <v>985</v>
      </c>
      <c r="E937" s="20"/>
      <c r="F937" s="6">
        <f>F938</f>
        <v>250</v>
      </c>
      <c r="G937" s="6">
        <f t="shared" si="463"/>
        <v>84</v>
      </c>
      <c r="H937" s="6">
        <f t="shared" si="452"/>
        <v>33.6</v>
      </c>
    </row>
    <row r="938" spans="1:8" ht="19.5" customHeight="1" x14ac:dyDescent="0.25">
      <c r="A938" s="25" t="s">
        <v>264</v>
      </c>
      <c r="B938" s="20" t="s">
        <v>260</v>
      </c>
      <c r="C938" s="20" t="s">
        <v>231</v>
      </c>
      <c r="D938" s="20" t="s">
        <v>985</v>
      </c>
      <c r="E938" s="20" t="s">
        <v>265</v>
      </c>
      <c r="F938" s="6">
        <f t="shared" ref="F938:G938" si="464">F939</f>
        <v>250</v>
      </c>
      <c r="G938" s="6">
        <f t="shared" si="464"/>
        <v>84</v>
      </c>
      <c r="H938" s="6">
        <f t="shared" si="452"/>
        <v>33.6</v>
      </c>
    </row>
    <row r="939" spans="1:8" ht="31.5" x14ac:dyDescent="0.25">
      <c r="A939" s="25" t="s">
        <v>364</v>
      </c>
      <c r="B939" s="20" t="s">
        <v>260</v>
      </c>
      <c r="C939" s="20" t="s">
        <v>231</v>
      </c>
      <c r="D939" s="20" t="s">
        <v>985</v>
      </c>
      <c r="E939" s="20" t="s">
        <v>365</v>
      </c>
      <c r="F939" s="6">
        <f>'Пр.4 ведом.20'!G472</f>
        <v>250</v>
      </c>
      <c r="G939" s="6">
        <f>'Пр.4 ведом.20'!H472</f>
        <v>84</v>
      </c>
      <c r="H939" s="6">
        <f t="shared" si="452"/>
        <v>33.6</v>
      </c>
    </row>
    <row r="940" spans="1:8" ht="78" customHeight="1" x14ac:dyDescent="0.25">
      <c r="A940" s="23" t="s">
        <v>269</v>
      </c>
      <c r="B940" s="24" t="s">
        <v>260</v>
      </c>
      <c r="C940" s="24" t="s">
        <v>231</v>
      </c>
      <c r="D940" s="24" t="s">
        <v>270</v>
      </c>
      <c r="E940" s="24"/>
      <c r="F940" s="4">
        <f t="shared" ref="F940:G942" si="465">F941</f>
        <v>10</v>
      </c>
      <c r="G940" s="4">
        <f t="shared" si="465"/>
        <v>0</v>
      </c>
      <c r="H940" s="4">
        <f t="shared" si="452"/>
        <v>0</v>
      </c>
    </row>
    <row r="941" spans="1:8" ht="47.25" x14ac:dyDescent="0.25">
      <c r="A941" s="23" t="s">
        <v>931</v>
      </c>
      <c r="B941" s="24" t="s">
        <v>260</v>
      </c>
      <c r="C941" s="24" t="s">
        <v>231</v>
      </c>
      <c r="D941" s="24" t="s">
        <v>929</v>
      </c>
      <c r="E941" s="24"/>
      <c r="F941" s="4">
        <f t="shared" si="465"/>
        <v>10</v>
      </c>
      <c r="G941" s="4">
        <f t="shared" si="465"/>
        <v>0</v>
      </c>
      <c r="H941" s="4">
        <f t="shared" si="452"/>
        <v>0</v>
      </c>
    </row>
    <row r="942" spans="1:8" ht="31.5" x14ac:dyDescent="0.25">
      <c r="A942" s="25" t="s">
        <v>930</v>
      </c>
      <c r="B942" s="20" t="s">
        <v>260</v>
      </c>
      <c r="C942" s="20" t="s">
        <v>231</v>
      </c>
      <c r="D942" s="20" t="s">
        <v>1470</v>
      </c>
      <c r="E942" s="20"/>
      <c r="F942" s="6">
        <f t="shared" si="465"/>
        <v>10</v>
      </c>
      <c r="G942" s="6">
        <f t="shared" si="465"/>
        <v>0</v>
      </c>
      <c r="H942" s="6">
        <f t="shared" si="452"/>
        <v>0</v>
      </c>
    </row>
    <row r="943" spans="1:8" ht="19.5" customHeight="1" x14ac:dyDescent="0.25">
      <c r="A943" s="25" t="s">
        <v>264</v>
      </c>
      <c r="B943" s="20" t="s">
        <v>260</v>
      </c>
      <c r="C943" s="20" t="s">
        <v>231</v>
      </c>
      <c r="D943" s="20" t="s">
        <v>1470</v>
      </c>
      <c r="E943" s="20" t="s">
        <v>265</v>
      </c>
      <c r="F943" s="6">
        <v>10</v>
      </c>
      <c r="G943" s="6">
        <f>G944</f>
        <v>0</v>
      </c>
      <c r="H943" s="6">
        <f t="shared" si="452"/>
        <v>0</v>
      </c>
    </row>
    <row r="944" spans="1:8" ht="31.5" x14ac:dyDescent="0.25">
      <c r="A944" s="25" t="s">
        <v>266</v>
      </c>
      <c r="B944" s="20" t="s">
        <v>260</v>
      </c>
      <c r="C944" s="20" t="s">
        <v>231</v>
      </c>
      <c r="D944" s="20" t="s">
        <v>1470</v>
      </c>
      <c r="E944" s="20" t="s">
        <v>267</v>
      </c>
      <c r="F944" s="6">
        <f>'Пр.4 ведом.20'!G202</f>
        <v>10</v>
      </c>
      <c r="G944" s="6">
        <f>'Пр.4 ведом.20'!H202</f>
        <v>0</v>
      </c>
      <c r="H944" s="6">
        <f t="shared" si="452"/>
        <v>0</v>
      </c>
    </row>
    <row r="945" spans="1:8" s="217" customFormat="1" ht="15.75" x14ac:dyDescent="0.25">
      <c r="A945" s="23" t="s">
        <v>416</v>
      </c>
      <c r="B945" s="24" t="s">
        <v>260</v>
      </c>
      <c r="C945" s="24" t="s">
        <v>166</v>
      </c>
      <c r="D945" s="24"/>
      <c r="E945" s="24"/>
      <c r="F945" s="4">
        <f>F946</f>
        <v>1431.2</v>
      </c>
      <c r="G945" s="4">
        <f t="shared" ref="G945:G948" si="466">G946</f>
        <v>0</v>
      </c>
      <c r="H945" s="4">
        <f t="shared" si="452"/>
        <v>0</v>
      </c>
    </row>
    <row r="946" spans="1:8" s="217" customFormat="1" ht="31.5" x14ac:dyDescent="0.25">
      <c r="A946" s="23" t="s">
        <v>932</v>
      </c>
      <c r="B946" s="24" t="s">
        <v>260</v>
      </c>
      <c r="C946" s="24" t="s">
        <v>166</v>
      </c>
      <c r="D946" s="24" t="s">
        <v>909</v>
      </c>
      <c r="E946" s="20"/>
      <c r="F946" s="21">
        <f>F947</f>
        <v>1431.2</v>
      </c>
      <c r="G946" s="339">
        <f t="shared" si="466"/>
        <v>0</v>
      </c>
      <c r="H946" s="4">
        <f t="shared" si="452"/>
        <v>0</v>
      </c>
    </row>
    <row r="947" spans="1:8" s="217" customFormat="1" ht="47.25" x14ac:dyDescent="0.25">
      <c r="A947" s="25" t="s">
        <v>1411</v>
      </c>
      <c r="B947" s="20" t="s">
        <v>260</v>
      </c>
      <c r="C947" s="20" t="s">
        <v>166</v>
      </c>
      <c r="D947" s="20" t="s">
        <v>1410</v>
      </c>
      <c r="E947" s="20"/>
      <c r="F947" s="26">
        <f>F948</f>
        <v>1431.2</v>
      </c>
      <c r="G947" s="343">
        <f t="shared" si="466"/>
        <v>0</v>
      </c>
      <c r="H947" s="6">
        <f t="shared" si="452"/>
        <v>0</v>
      </c>
    </row>
    <row r="948" spans="1:8" s="217" customFormat="1" ht="31.5" x14ac:dyDescent="0.25">
      <c r="A948" s="25" t="s">
        <v>147</v>
      </c>
      <c r="B948" s="20" t="s">
        <v>260</v>
      </c>
      <c r="C948" s="20" t="s">
        <v>166</v>
      </c>
      <c r="D948" s="20" t="s">
        <v>1410</v>
      </c>
      <c r="E948" s="20" t="s">
        <v>148</v>
      </c>
      <c r="F948" s="26">
        <f>F949</f>
        <v>1431.2</v>
      </c>
      <c r="G948" s="343">
        <f t="shared" si="466"/>
        <v>0</v>
      </c>
      <c r="H948" s="6">
        <f t="shared" si="452"/>
        <v>0</v>
      </c>
    </row>
    <row r="949" spans="1:8" s="217" customFormat="1" ht="31.5" x14ac:dyDescent="0.25">
      <c r="A949" s="25" t="s">
        <v>149</v>
      </c>
      <c r="B949" s="20" t="s">
        <v>260</v>
      </c>
      <c r="C949" s="20" t="s">
        <v>166</v>
      </c>
      <c r="D949" s="20" t="s">
        <v>1410</v>
      </c>
      <c r="E949" s="20" t="s">
        <v>150</v>
      </c>
      <c r="F949" s="26">
        <f>'Пр.4 ведом.20'!G540</f>
        <v>1431.2</v>
      </c>
      <c r="G949" s="343">
        <f>'Пр.4 ведом.20'!H540</f>
        <v>0</v>
      </c>
      <c r="H949" s="6">
        <f t="shared" si="452"/>
        <v>0</v>
      </c>
    </row>
    <row r="950" spans="1:8" s="217" customFormat="1" ht="15.75" x14ac:dyDescent="0.25">
      <c r="A950" s="23" t="s">
        <v>274</v>
      </c>
      <c r="B950" s="24" t="s">
        <v>260</v>
      </c>
      <c r="C950" s="24" t="s">
        <v>136</v>
      </c>
      <c r="D950" s="24"/>
      <c r="E950" s="24"/>
      <c r="F950" s="4">
        <f>F951+F958</f>
        <v>3736</v>
      </c>
      <c r="G950" s="4">
        <f t="shared" ref="G950" si="467">G951+G958</f>
        <v>1325</v>
      </c>
      <c r="H950" s="4">
        <f t="shared" si="452"/>
        <v>35.465738758029978</v>
      </c>
    </row>
    <row r="951" spans="1:8" s="217" customFormat="1" ht="31.5" x14ac:dyDescent="0.25">
      <c r="A951" s="23" t="s">
        <v>990</v>
      </c>
      <c r="B951" s="24" t="s">
        <v>260</v>
      </c>
      <c r="C951" s="24" t="s">
        <v>136</v>
      </c>
      <c r="D951" s="24" t="s">
        <v>904</v>
      </c>
      <c r="E951" s="24"/>
      <c r="F951" s="4">
        <f>F952</f>
        <v>3621.4</v>
      </c>
      <c r="G951" s="4">
        <f t="shared" ref="G951:G952" si="468">G952</f>
        <v>1325</v>
      </c>
      <c r="H951" s="4">
        <f t="shared" si="452"/>
        <v>36.588059866350029</v>
      </c>
    </row>
    <row r="952" spans="1:8" ht="31.5" x14ac:dyDescent="0.25">
      <c r="A952" s="23" t="s">
        <v>932</v>
      </c>
      <c r="B952" s="24" t="s">
        <v>260</v>
      </c>
      <c r="C952" s="24" t="s">
        <v>136</v>
      </c>
      <c r="D952" s="24" t="s">
        <v>909</v>
      </c>
      <c r="E952" s="24"/>
      <c r="F952" s="4">
        <f>F953</f>
        <v>3621.4</v>
      </c>
      <c r="G952" s="4">
        <f t="shared" si="468"/>
        <v>1325</v>
      </c>
      <c r="H952" s="4">
        <f t="shared" si="452"/>
        <v>36.588059866350029</v>
      </c>
    </row>
    <row r="953" spans="1:8" ht="43.5" customHeight="1" x14ac:dyDescent="0.25">
      <c r="A953" s="31" t="s">
        <v>275</v>
      </c>
      <c r="B953" s="20" t="s">
        <v>260</v>
      </c>
      <c r="C953" s="20" t="s">
        <v>136</v>
      </c>
      <c r="D953" s="20" t="s">
        <v>998</v>
      </c>
      <c r="E953" s="20"/>
      <c r="F953" s="6">
        <f>F954+F956</f>
        <v>3621.4</v>
      </c>
      <c r="G953" s="6">
        <f t="shared" ref="G953" si="469">G954+G956</f>
        <v>1325</v>
      </c>
      <c r="H953" s="6">
        <f t="shared" si="452"/>
        <v>36.588059866350029</v>
      </c>
    </row>
    <row r="954" spans="1:8" ht="78.75" x14ac:dyDescent="0.25">
      <c r="A954" s="25" t="s">
        <v>143</v>
      </c>
      <c r="B954" s="20" t="s">
        <v>260</v>
      </c>
      <c r="C954" s="20" t="s">
        <v>136</v>
      </c>
      <c r="D954" s="20" t="s">
        <v>998</v>
      </c>
      <c r="E954" s="20" t="s">
        <v>144</v>
      </c>
      <c r="F954" s="6">
        <f t="shared" ref="F954:G954" si="470">F955</f>
        <v>3220.8</v>
      </c>
      <c r="G954" s="6">
        <f t="shared" si="470"/>
        <v>1270.0999999999999</v>
      </c>
      <c r="H954" s="6">
        <f t="shared" si="452"/>
        <v>39.434302036761046</v>
      </c>
    </row>
    <row r="955" spans="1:8" ht="31.5" x14ac:dyDescent="0.25">
      <c r="A955" s="25" t="s">
        <v>145</v>
      </c>
      <c r="B955" s="20" t="s">
        <v>260</v>
      </c>
      <c r="C955" s="20" t="s">
        <v>136</v>
      </c>
      <c r="D955" s="20" t="s">
        <v>998</v>
      </c>
      <c r="E955" s="20" t="s">
        <v>146</v>
      </c>
      <c r="F955" s="6">
        <f>'Пр.4 ведом.20'!G208</f>
        <v>3220.8</v>
      </c>
      <c r="G955" s="6">
        <f>'Пр.4 ведом.20'!H208</f>
        <v>1270.0999999999999</v>
      </c>
      <c r="H955" s="6">
        <f t="shared" si="452"/>
        <v>39.434302036761046</v>
      </c>
    </row>
    <row r="956" spans="1:8" ht="32.25" customHeight="1" x14ac:dyDescent="0.25">
      <c r="A956" s="25" t="s">
        <v>147</v>
      </c>
      <c r="B956" s="20" t="s">
        <v>260</v>
      </c>
      <c r="C956" s="20" t="s">
        <v>136</v>
      </c>
      <c r="D956" s="20" t="s">
        <v>998</v>
      </c>
      <c r="E956" s="20" t="s">
        <v>148</v>
      </c>
      <c r="F956" s="6">
        <f t="shared" ref="F956:G956" si="471">F957</f>
        <v>400.6</v>
      </c>
      <c r="G956" s="6">
        <f t="shared" si="471"/>
        <v>54.9</v>
      </c>
      <c r="H956" s="6">
        <f t="shared" si="452"/>
        <v>13.704443334997501</v>
      </c>
    </row>
    <row r="957" spans="1:8" ht="31.7" customHeight="1" x14ac:dyDescent="0.25">
      <c r="A957" s="25" t="s">
        <v>149</v>
      </c>
      <c r="B957" s="20" t="s">
        <v>260</v>
      </c>
      <c r="C957" s="20" t="s">
        <v>136</v>
      </c>
      <c r="D957" s="20" t="s">
        <v>998</v>
      </c>
      <c r="E957" s="20" t="s">
        <v>150</v>
      </c>
      <c r="F957" s="6">
        <f>'Пр.4 ведом.20'!G210</f>
        <v>400.6</v>
      </c>
      <c r="G957" s="6">
        <f>'Пр.4 ведом.20'!H210</f>
        <v>54.9</v>
      </c>
      <c r="H957" s="6">
        <f t="shared" si="452"/>
        <v>13.704443334997501</v>
      </c>
    </row>
    <row r="958" spans="1:8" s="217" customFormat="1" ht="15" customHeight="1" x14ac:dyDescent="0.25">
      <c r="A958" s="23" t="s">
        <v>157</v>
      </c>
      <c r="B958" s="24" t="s">
        <v>260</v>
      </c>
      <c r="C958" s="24" t="s">
        <v>136</v>
      </c>
      <c r="D958" s="24" t="s">
        <v>912</v>
      </c>
      <c r="E958" s="24"/>
      <c r="F958" s="4">
        <f>F959</f>
        <v>114.6</v>
      </c>
      <c r="G958" s="4">
        <f t="shared" ref="G958:G961" si="472">G959</f>
        <v>0</v>
      </c>
      <c r="H958" s="4">
        <f t="shared" si="452"/>
        <v>0</v>
      </c>
    </row>
    <row r="959" spans="1:8" ht="37.5" customHeight="1" x14ac:dyDescent="0.25">
      <c r="A959" s="23" t="s">
        <v>916</v>
      </c>
      <c r="B959" s="24" t="s">
        <v>260</v>
      </c>
      <c r="C959" s="24" t="s">
        <v>136</v>
      </c>
      <c r="D959" s="24" t="s">
        <v>911</v>
      </c>
      <c r="E959" s="24"/>
      <c r="F959" s="4">
        <f>F960</f>
        <v>114.6</v>
      </c>
      <c r="G959" s="4">
        <f t="shared" si="472"/>
        <v>0</v>
      </c>
      <c r="H959" s="4">
        <f t="shared" si="452"/>
        <v>0</v>
      </c>
    </row>
    <row r="960" spans="1:8" ht="15.75" customHeight="1" x14ac:dyDescent="0.25">
      <c r="A960" s="25" t="s">
        <v>588</v>
      </c>
      <c r="B960" s="20" t="s">
        <v>260</v>
      </c>
      <c r="C960" s="20" t="s">
        <v>136</v>
      </c>
      <c r="D960" s="20" t="s">
        <v>1133</v>
      </c>
      <c r="E960" s="20"/>
      <c r="F960" s="6">
        <f>F961</f>
        <v>114.6</v>
      </c>
      <c r="G960" s="6">
        <f t="shared" si="472"/>
        <v>0</v>
      </c>
      <c r="H960" s="6">
        <f t="shared" si="452"/>
        <v>0</v>
      </c>
    </row>
    <row r="961" spans="1:10" ht="31.7" customHeight="1" x14ac:dyDescent="0.25">
      <c r="A961" s="25" t="s">
        <v>147</v>
      </c>
      <c r="B961" s="20" t="s">
        <v>260</v>
      </c>
      <c r="C961" s="20" t="s">
        <v>136</v>
      </c>
      <c r="D961" s="20" t="s">
        <v>1133</v>
      </c>
      <c r="E961" s="20" t="s">
        <v>148</v>
      </c>
      <c r="F961" s="6">
        <f>F962</f>
        <v>114.6</v>
      </c>
      <c r="G961" s="6">
        <f t="shared" si="472"/>
        <v>0</v>
      </c>
      <c r="H961" s="6">
        <f t="shared" si="452"/>
        <v>0</v>
      </c>
    </row>
    <row r="962" spans="1:10" ht="35.450000000000003" customHeight="1" x14ac:dyDescent="0.25">
      <c r="A962" s="25" t="s">
        <v>149</v>
      </c>
      <c r="B962" s="20" t="s">
        <v>260</v>
      </c>
      <c r="C962" s="20" t="s">
        <v>136</v>
      </c>
      <c r="D962" s="20" t="s">
        <v>1133</v>
      </c>
      <c r="E962" s="20" t="s">
        <v>150</v>
      </c>
      <c r="F962" s="6">
        <f>'Пр.4 ведом.20'!G1118</f>
        <v>114.6</v>
      </c>
      <c r="G962" s="6">
        <f>'Пр.4 ведом.20'!H1118</f>
        <v>0</v>
      </c>
      <c r="H962" s="6">
        <f t="shared" si="452"/>
        <v>0</v>
      </c>
    </row>
    <row r="963" spans="1:10" ht="15.75" x14ac:dyDescent="0.25">
      <c r="A963" s="41" t="s">
        <v>506</v>
      </c>
      <c r="B963" s="7" t="s">
        <v>507</v>
      </c>
      <c r="C963" s="40"/>
      <c r="D963" s="40"/>
      <c r="E963" s="40"/>
      <c r="F963" s="4">
        <f>F964+F1021</f>
        <v>66064.7304</v>
      </c>
      <c r="G963" s="4">
        <f t="shared" ref="G963" si="473">G964+G1021</f>
        <v>32152.149999999998</v>
      </c>
      <c r="H963" s="4">
        <f t="shared" si="452"/>
        <v>48.667647329111027</v>
      </c>
    </row>
    <row r="964" spans="1:10" ht="15.75" x14ac:dyDescent="0.25">
      <c r="A964" s="23" t="s">
        <v>508</v>
      </c>
      <c r="B964" s="24" t="s">
        <v>507</v>
      </c>
      <c r="C964" s="24" t="s">
        <v>134</v>
      </c>
      <c r="D964" s="20"/>
      <c r="E964" s="20"/>
      <c r="F964" s="4">
        <f>F969+F1016+F965</f>
        <v>52846.530400000003</v>
      </c>
      <c r="G964" s="4">
        <f t="shared" ref="G964" si="474">G969+G1016+G965</f>
        <v>25763.1</v>
      </c>
      <c r="H964" s="4">
        <f t="shared" si="452"/>
        <v>48.750787998751946</v>
      </c>
      <c r="I964" s="22"/>
      <c r="J964" s="22"/>
    </row>
    <row r="965" spans="1:10" s="217" customFormat="1" ht="47.25" hidden="1" x14ac:dyDescent="0.25">
      <c r="A965" s="23" t="s">
        <v>1171</v>
      </c>
      <c r="B965" s="24" t="s">
        <v>507</v>
      </c>
      <c r="C965" s="24" t="s">
        <v>134</v>
      </c>
      <c r="D965" s="24" t="s">
        <v>1116</v>
      </c>
      <c r="E965" s="20"/>
      <c r="F965" s="4">
        <f>F966</f>
        <v>0</v>
      </c>
      <c r="G965" s="4">
        <f t="shared" ref="G965:G967" si="475">G966</f>
        <v>0</v>
      </c>
      <c r="H965" s="4" t="e">
        <f t="shared" si="452"/>
        <v>#DIV/0!</v>
      </c>
      <c r="I965" s="22"/>
      <c r="J965" s="22"/>
    </row>
    <row r="966" spans="1:10" s="217" customFormat="1" ht="47.25" hidden="1" x14ac:dyDescent="0.25">
      <c r="A966" s="25" t="s">
        <v>1506</v>
      </c>
      <c r="B966" s="20" t="s">
        <v>507</v>
      </c>
      <c r="C966" s="20" t="s">
        <v>134</v>
      </c>
      <c r="D966" s="20" t="s">
        <v>1505</v>
      </c>
      <c r="E966" s="20"/>
      <c r="F966" s="6">
        <f>F967</f>
        <v>0</v>
      </c>
      <c r="G966" s="6">
        <f t="shared" si="475"/>
        <v>0</v>
      </c>
      <c r="H966" s="4" t="e">
        <f t="shared" si="452"/>
        <v>#DIV/0!</v>
      </c>
      <c r="I966" s="22"/>
      <c r="J966" s="22"/>
    </row>
    <row r="967" spans="1:10" s="217" customFormat="1" ht="31.5" hidden="1" x14ac:dyDescent="0.25">
      <c r="A967" s="25" t="s">
        <v>147</v>
      </c>
      <c r="B967" s="20" t="s">
        <v>507</v>
      </c>
      <c r="C967" s="20" t="s">
        <v>134</v>
      </c>
      <c r="D967" s="20" t="s">
        <v>1505</v>
      </c>
      <c r="E967" s="20" t="s">
        <v>148</v>
      </c>
      <c r="F967" s="6">
        <f>F968</f>
        <v>0</v>
      </c>
      <c r="G967" s="6">
        <f t="shared" si="475"/>
        <v>0</v>
      </c>
      <c r="H967" s="4" t="e">
        <f t="shared" si="452"/>
        <v>#DIV/0!</v>
      </c>
      <c r="I967" s="22"/>
      <c r="J967" s="22"/>
    </row>
    <row r="968" spans="1:10" s="217" customFormat="1" ht="31.5" hidden="1" x14ac:dyDescent="0.25">
      <c r="A968" s="25" t="s">
        <v>149</v>
      </c>
      <c r="B968" s="20" t="s">
        <v>507</v>
      </c>
      <c r="C968" s="20" t="s">
        <v>134</v>
      </c>
      <c r="D968" s="20" t="s">
        <v>1505</v>
      </c>
      <c r="E968" s="20" t="s">
        <v>150</v>
      </c>
      <c r="F968" s="6">
        <f>'Пр.4 ведом.20'!G802</f>
        <v>0</v>
      </c>
      <c r="G968" s="6">
        <f>'Пр.4 ведом.20'!H802</f>
        <v>0</v>
      </c>
      <c r="H968" s="4" t="e">
        <f t="shared" si="452"/>
        <v>#DIV/0!</v>
      </c>
      <c r="I968" s="22"/>
      <c r="J968" s="22"/>
    </row>
    <row r="969" spans="1:10" ht="47.25" x14ac:dyDescent="0.25">
      <c r="A969" s="23" t="s">
        <v>497</v>
      </c>
      <c r="B969" s="24" t="s">
        <v>507</v>
      </c>
      <c r="C969" s="24" t="s">
        <v>134</v>
      </c>
      <c r="D969" s="24" t="s">
        <v>498</v>
      </c>
      <c r="E969" s="24"/>
      <c r="F969" s="4">
        <f t="shared" ref="F969:G969" si="476">F970</f>
        <v>52306.430400000005</v>
      </c>
      <c r="G969" s="4">
        <f t="shared" si="476"/>
        <v>25568.66</v>
      </c>
      <c r="H969" s="4">
        <f t="shared" si="452"/>
        <v>48.882441039218762</v>
      </c>
    </row>
    <row r="970" spans="1:10" ht="47.25" x14ac:dyDescent="0.25">
      <c r="A970" s="23" t="s">
        <v>509</v>
      </c>
      <c r="B970" s="24" t="s">
        <v>507</v>
      </c>
      <c r="C970" s="24" t="s">
        <v>134</v>
      </c>
      <c r="D970" s="24" t="s">
        <v>510</v>
      </c>
      <c r="E970" s="24"/>
      <c r="F970" s="4">
        <f>F971+F981+F991+F998+F1005+F1009</f>
        <v>52306.430400000005</v>
      </c>
      <c r="G970" s="4">
        <f t="shared" ref="G970" si="477">G971+G981+G991+G998+G1005+G1009</f>
        <v>25568.66</v>
      </c>
      <c r="H970" s="4">
        <f t="shared" si="452"/>
        <v>48.882441039218762</v>
      </c>
    </row>
    <row r="971" spans="1:10" ht="31.5" x14ac:dyDescent="0.25">
      <c r="A971" s="23" t="s">
        <v>1028</v>
      </c>
      <c r="B971" s="24" t="s">
        <v>507</v>
      </c>
      <c r="C971" s="24" t="s">
        <v>134</v>
      </c>
      <c r="D971" s="24" t="s">
        <v>1061</v>
      </c>
      <c r="E971" s="24"/>
      <c r="F971" s="4">
        <f>F972+F975+F978</f>
        <v>44780.4</v>
      </c>
      <c r="G971" s="4">
        <f t="shared" ref="G971" si="478">G972+G975+G978</f>
        <v>23397.260000000002</v>
      </c>
      <c r="H971" s="4">
        <f t="shared" ref="H971:H1034" si="479">G971/F971*100</f>
        <v>52.248885673196312</v>
      </c>
    </row>
    <row r="972" spans="1:10" ht="47.25" x14ac:dyDescent="0.25">
      <c r="A972" s="25" t="s">
        <v>837</v>
      </c>
      <c r="B972" s="20" t="s">
        <v>507</v>
      </c>
      <c r="C972" s="20" t="s">
        <v>134</v>
      </c>
      <c r="D972" s="20" t="s">
        <v>1071</v>
      </c>
      <c r="E972" s="20"/>
      <c r="F972" s="6">
        <f>F973</f>
        <v>12963.2</v>
      </c>
      <c r="G972" s="6">
        <f t="shared" ref="G972:G973" si="480">G973</f>
        <v>6783.21</v>
      </c>
      <c r="H972" s="6">
        <f t="shared" si="479"/>
        <v>52.326663169587754</v>
      </c>
    </row>
    <row r="973" spans="1:10" ht="31.5" x14ac:dyDescent="0.25">
      <c r="A973" s="25" t="s">
        <v>288</v>
      </c>
      <c r="B973" s="20" t="s">
        <v>507</v>
      </c>
      <c r="C973" s="20" t="s">
        <v>134</v>
      </c>
      <c r="D973" s="20" t="s">
        <v>1071</v>
      </c>
      <c r="E973" s="20" t="s">
        <v>289</v>
      </c>
      <c r="F973" s="6">
        <f>F974</f>
        <v>12963.2</v>
      </c>
      <c r="G973" s="6">
        <f t="shared" si="480"/>
        <v>6783.21</v>
      </c>
      <c r="H973" s="6">
        <f t="shared" si="479"/>
        <v>52.326663169587754</v>
      </c>
    </row>
    <row r="974" spans="1:10" ht="15.75" x14ac:dyDescent="0.25">
      <c r="A974" s="25" t="s">
        <v>290</v>
      </c>
      <c r="B974" s="20" t="s">
        <v>507</v>
      </c>
      <c r="C974" s="20" t="s">
        <v>134</v>
      </c>
      <c r="D974" s="20" t="s">
        <v>1071</v>
      </c>
      <c r="E974" s="20" t="s">
        <v>291</v>
      </c>
      <c r="F974" s="6">
        <f>'Пр.4 ведом.20'!G808</f>
        <v>12963.2</v>
      </c>
      <c r="G974" s="6">
        <f>'Пр.4 ведом.20'!H808</f>
        <v>6783.21</v>
      </c>
      <c r="H974" s="6">
        <f t="shared" si="479"/>
        <v>52.326663169587754</v>
      </c>
    </row>
    <row r="975" spans="1:10" ht="47.25" x14ac:dyDescent="0.25">
      <c r="A975" s="25" t="s">
        <v>858</v>
      </c>
      <c r="B975" s="20" t="s">
        <v>507</v>
      </c>
      <c r="C975" s="20" t="s">
        <v>134</v>
      </c>
      <c r="D975" s="20" t="s">
        <v>1072</v>
      </c>
      <c r="E975" s="20"/>
      <c r="F975" s="6">
        <f>F976</f>
        <v>13290.199999999999</v>
      </c>
      <c r="G975" s="6">
        <f t="shared" ref="G975:G976" si="481">G976</f>
        <v>7269.43</v>
      </c>
      <c r="H975" s="6">
        <f t="shared" si="479"/>
        <v>54.697671968819137</v>
      </c>
    </row>
    <row r="976" spans="1:10" ht="31.5" x14ac:dyDescent="0.25">
      <c r="A976" s="25" t="s">
        <v>288</v>
      </c>
      <c r="B976" s="20" t="s">
        <v>507</v>
      </c>
      <c r="C976" s="20" t="s">
        <v>134</v>
      </c>
      <c r="D976" s="20" t="s">
        <v>1072</v>
      </c>
      <c r="E976" s="20" t="s">
        <v>289</v>
      </c>
      <c r="F976" s="6">
        <f>F977</f>
        <v>13290.199999999999</v>
      </c>
      <c r="G976" s="6">
        <f t="shared" si="481"/>
        <v>7269.43</v>
      </c>
      <c r="H976" s="6">
        <f t="shared" si="479"/>
        <v>54.697671968819137</v>
      </c>
    </row>
    <row r="977" spans="1:8" ht="15.75" x14ac:dyDescent="0.25">
      <c r="A977" s="25" t="s">
        <v>290</v>
      </c>
      <c r="B977" s="20" t="s">
        <v>507</v>
      </c>
      <c r="C977" s="20" t="s">
        <v>134</v>
      </c>
      <c r="D977" s="20" t="s">
        <v>1072</v>
      </c>
      <c r="E977" s="20" t="s">
        <v>291</v>
      </c>
      <c r="F977" s="6">
        <f>'Пр.4 ведом.20'!G811</f>
        <v>13290.199999999999</v>
      </c>
      <c r="G977" s="6">
        <f>'Пр.4 ведом.20'!H811</f>
        <v>7269.43</v>
      </c>
      <c r="H977" s="6">
        <f t="shared" si="479"/>
        <v>54.697671968819137</v>
      </c>
    </row>
    <row r="978" spans="1:8" ht="47.25" x14ac:dyDescent="0.25">
      <c r="A978" s="25" t="s">
        <v>859</v>
      </c>
      <c r="B978" s="20" t="s">
        <v>507</v>
      </c>
      <c r="C978" s="20" t="s">
        <v>134</v>
      </c>
      <c r="D978" s="20" t="s">
        <v>1073</v>
      </c>
      <c r="E978" s="20"/>
      <c r="F978" s="6">
        <f>F979</f>
        <v>18527</v>
      </c>
      <c r="G978" s="6">
        <f t="shared" ref="G978:G979" si="482">G979</f>
        <v>9344.6200000000008</v>
      </c>
      <c r="H978" s="6">
        <f t="shared" si="479"/>
        <v>50.437847465860642</v>
      </c>
    </row>
    <row r="979" spans="1:8" ht="31.5" x14ac:dyDescent="0.25">
      <c r="A979" s="25" t="s">
        <v>288</v>
      </c>
      <c r="B979" s="20" t="s">
        <v>507</v>
      </c>
      <c r="C979" s="20" t="s">
        <v>134</v>
      </c>
      <c r="D979" s="20" t="s">
        <v>1073</v>
      </c>
      <c r="E979" s="20" t="s">
        <v>289</v>
      </c>
      <c r="F979" s="6">
        <f>F980</f>
        <v>18527</v>
      </c>
      <c r="G979" s="6">
        <f t="shared" si="482"/>
        <v>9344.6200000000008</v>
      </c>
      <c r="H979" s="6">
        <f t="shared" si="479"/>
        <v>50.437847465860642</v>
      </c>
    </row>
    <row r="980" spans="1:8" ht="15.75" x14ac:dyDescent="0.25">
      <c r="A980" s="25" t="s">
        <v>290</v>
      </c>
      <c r="B980" s="20" t="s">
        <v>507</v>
      </c>
      <c r="C980" s="20" t="s">
        <v>134</v>
      </c>
      <c r="D980" s="20" t="s">
        <v>1073</v>
      </c>
      <c r="E980" s="20" t="s">
        <v>291</v>
      </c>
      <c r="F980" s="6">
        <f>'Пр.4 ведом.20'!G814</f>
        <v>18527</v>
      </c>
      <c r="G980" s="6">
        <f>'Пр.4 ведом.20'!H814</f>
        <v>9344.6200000000008</v>
      </c>
      <c r="H980" s="6">
        <f t="shared" si="479"/>
        <v>50.437847465860642</v>
      </c>
    </row>
    <row r="981" spans="1:8" ht="31.5" x14ac:dyDescent="0.25">
      <c r="A981" s="23" t="s">
        <v>1074</v>
      </c>
      <c r="B981" s="24" t="s">
        <v>507</v>
      </c>
      <c r="C981" s="24" t="s">
        <v>134</v>
      </c>
      <c r="D981" s="24" t="s">
        <v>1075</v>
      </c>
      <c r="E981" s="24"/>
      <c r="F981" s="4">
        <f>F982+F985+F988</f>
        <v>36</v>
      </c>
      <c r="G981" s="4">
        <f t="shared" ref="G981" si="483">G982+G985+G988</f>
        <v>36</v>
      </c>
      <c r="H981" s="4">
        <f t="shared" si="479"/>
        <v>100</v>
      </c>
    </row>
    <row r="982" spans="1:8" ht="31.5" hidden="1" x14ac:dyDescent="0.25">
      <c r="A982" s="25" t="s">
        <v>294</v>
      </c>
      <c r="B982" s="20" t="s">
        <v>507</v>
      </c>
      <c r="C982" s="20" t="s">
        <v>134</v>
      </c>
      <c r="D982" s="20" t="s">
        <v>1079</v>
      </c>
      <c r="E982" s="20"/>
      <c r="F982" s="6">
        <f t="shared" ref="F982:G982" si="484">F983</f>
        <v>0</v>
      </c>
      <c r="G982" s="6">
        <f t="shared" si="484"/>
        <v>0</v>
      </c>
      <c r="H982" s="6" t="e">
        <f t="shared" si="479"/>
        <v>#DIV/0!</v>
      </c>
    </row>
    <row r="983" spans="1:8" ht="31.5" hidden="1" x14ac:dyDescent="0.25">
      <c r="A983" s="25" t="s">
        <v>288</v>
      </c>
      <c r="B983" s="20" t="s">
        <v>507</v>
      </c>
      <c r="C983" s="20" t="s">
        <v>134</v>
      </c>
      <c r="D983" s="20" t="s">
        <v>1079</v>
      </c>
      <c r="E983" s="20" t="s">
        <v>289</v>
      </c>
      <c r="F983" s="6">
        <f>'Пр.4 ведом.20'!G818</f>
        <v>0</v>
      </c>
      <c r="G983" s="6">
        <f>'Пр.4 ведом.20'!H818</f>
        <v>0</v>
      </c>
      <c r="H983" s="6" t="e">
        <f t="shared" si="479"/>
        <v>#DIV/0!</v>
      </c>
    </row>
    <row r="984" spans="1:8" ht="20.25" hidden="1" customHeight="1" x14ac:dyDescent="0.25">
      <c r="A984" s="25" t="s">
        <v>290</v>
      </c>
      <c r="B984" s="20" t="s">
        <v>507</v>
      </c>
      <c r="C984" s="20" t="s">
        <v>134</v>
      </c>
      <c r="D984" s="20" t="s">
        <v>1079</v>
      </c>
      <c r="E984" s="20" t="s">
        <v>291</v>
      </c>
      <c r="F984" s="6">
        <f>'Пр.4 ведом.20'!G818</f>
        <v>0</v>
      </c>
      <c r="G984" s="6">
        <f>'Пр.4 ведом.20'!H818</f>
        <v>0</v>
      </c>
      <c r="H984" s="6" t="e">
        <f t="shared" si="479"/>
        <v>#DIV/0!</v>
      </c>
    </row>
    <row r="985" spans="1:8" ht="33" hidden="1" customHeight="1" x14ac:dyDescent="0.25">
      <c r="A985" s="25" t="s">
        <v>296</v>
      </c>
      <c r="B985" s="20" t="s">
        <v>507</v>
      </c>
      <c r="C985" s="20" t="s">
        <v>134</v>
      </c>
      <c r="D985" s="20" t="s">
        <v>1080</v>
      </c>
      <c r="E985" s="20"/>
      <c r="F985" s="6">
        <f t="shared" ref="F985:G985" si="485">F986</f>
        <v>0</v>
      </c>
      <c r="G985" s="6">
        <f t="shared" si="485"/>
        <v>0</v>
      </c>
      <c r="H985" s="6" t="e">
        <f t="shared" si="479"/>
        <v>#DIV/0!</v>
      </c>
    </row>
    <row r="986" spans="1:8" ht="37.5" hidden="1" customHeight="1" x14ac:dyDescent="0.25">
      <c r="A986" s="25" t="s">
        <v>288</v>
      </c>
      <c r="B986" s="20" t="s">
        <v>507</v>
      </c>
      <c r="C986" s="20" t="s">
        <v>134</v>
      </c>
      <c r="D986" s="20" t="s">
        <v>1080</v>
      </c>
      <c r="E986" s="20" t="s">
        <v>289</v>
      </c>
      <c r="F986" s="6">
        <f>'Пр.4 ведом.20'!G821</f>
        <v>0</v>
      </c>
      <c r="G986" s="6">
        <f>'Пр.4 ведом.20'!H821</f>
        <v>0</v>
      </c>
      <c r="H986" s="6" t="e">
        <f t="shared" si="479"/>
        <v>#DIV/0!</v>
      </c>
    </row>
    <row r="987" spans="1:8" s="217" customFormat="1" ht="15.75" hidden="1" customHeight="1" x14ac:dyDescent="0.25">
      <c r="A987" s="25" t="s">
        <v>290</v>
      </c>
      <c r="B987" s="20" t="s">
        <v>507</v>
      </c>
      <c r="C987" s="20" t="s">
        <v>134</v>
      </c>
      <c r="D987" s="20" t="s">
        <v>1080</v>
      </c>
      <c r="E987" s="20" t="s">
        <v>291</v>
      </c>
      <c r="F987" s="6">
        <f>'Пр.4 ведом.20'!G821</f>
        <v>0</v>
      </c>
      <c r="G987" s="6">
        <f>'Пр.4 ведом.20'!H821</f>
        <v>0</v>
      </c>
      <c r="H987" s="6" t="e">
        <f t="shared" si="479"/>
        <v>#DIV/0!</v>
      </c>
    </row>
    <row r="988" spans="1:8" s="217" customFormat="1" ht="20.25" customHeight="1" x14ac:dyDescent="0.25">
      <c r="A988" s="25" t="s">
        <v>876</v>
      </c>
      <c r="B988" s="20" t="s">
        <v>507</v>
      </c>
      <c r="C988" s="20" t="s">
        <v>134</v>
      </c>
      <c r="D988" s="20" t="s">
        <v>1081</v>
      </c>
      <c r="E988" s="20"/>
      <c r="F988" s="6">
        <f>F989</f>
        <v>36</v>
      </c>
      <c r="G988" s="6">
        <f t="shared" ref="G988" si="486">G989</f>
        <v>36</v>
      </c>
      <c r="H988" s="6">
        <f t="shared" si="479"/>
        <v>100</v>
      </c>
    </row>
    <row r="989" spans="1:8" s="217" customFormat="1" ht="33" customHeight="1" x14ac:dyDescent="0.25">
      <c r="A989" s="25" t="s">
        <v>288</v>
      </c>
      <c r="B989" s="20" t="s">
        <v>507</v>
      </c>
      <c r="C989" s="20" t="s">
        <v>134</v>
      </c>
      <c r="D989" s="20" t="s">
        <v>1081</v>
      </c>
      <c r="E989" s="20" t="s">
        <v>289</v>
      </c>
      <c r="F989" s="6">
        <f>'Пр.4 ведом.20'!G824</f>
        <v>36</v>
      </c>
      <c r="G989" s="6">
        <f>'Пр.4 ведом.20'!H824</f>
        <v>36</v>
      </c>
      <c r="H989" s="6">
        <f t="shared" si="479"/>
        <v>100</v>
      </c>
    </row>
    <row r="990" spans="1:8" ht="20.25" customHeight="1" x14ac:dyDescent="0.25">
      <c r="A990" s="25" t="s">
        <v>290</v>
      </c>
      <c r="B990" s="20" t="s">
        <v>507</v>
      </c>
      <c r="C990" s="20" t="s">
        <v>134</v>
      </c>
      <c r="D990" s="20" t="s">
        <v>1081</v>
      </c>
      <c r="E990" s="20" t="s">
        <v>291</v>
      </c>
      <c r="F990" s="6">
        <f>'Пр.4 ведом.20'!G824</f>
        <v>36</v>
      </c>
      <c r="G990" s="6">
        <f>'Пр.4 ведом.20'!H824</f>
        <v>36</v>
      </c>
      <c r="H990" s="6">
        <f t="shared" si="479"/>
        <v>100</v>
      </c>
    </row>
    <row r="991" spans="1:8" ht="47.25" customHeight="1" x14ac:dyDescent="0.25">
      <c r="A991" s="23" t="s">
        <v>1076</v>
      </c>
      <c r="B991" s="24" t="s">
        <v>507</v>
      </c>
      <c r="C991" s="24" t="s">
        <v>134</v>
      </c>
      <c r="D991" s="24" t="s">
        <v>1078</v>
      </c>
      <c r="E991" s="24"/>
      <c r="F991" s="4">
        <f>F992+F995</f>
        <v>1205.8</v>
      </c>
      <c r="G991" s="4">
        <f t="shared" ref="G991" si="487">G992+G995</f>
        <v>1205.8</v>
      </c>
      <c r="H991" s="4">
        <f t="shared" si="479"/>
        <v>100</v>
      </c>
    </row>
    <row r="992" spans="1:8" ht="39.200000000000003" hidden="1" customHeight="1" x14ac:dyDescent="0.25">
      <c r="A992" s="25" t="s">
        <v>817</v>
      </c>
      <c r="B992" s="20" t="s">
        <v>507</v>
      </c>
      <c r="C992" s="20" t="s">
        <v>134</v>
      </c>
      <c r="D992" s="20" t="s">
        <v>1082</v>
      </c>
      <c r="E992" s="20"/>
      <c r="F992" s="6">
        <f>'Пр.4 ведом.20'!G828</f>
        <v>0</v>
      </c>
      <c r="G992" s="6">
        <f>'Пр.4 ведом.20'!H828</f>
        <v>0</v>
      </c>
      <c r="H992" s="6" t="e">
        <f t="shared" si="479"/>
        <v>#DIV/0!</v>
      </c>
    </row>
    <row r="993" spans="1:8" ht="40.700000000000003" hidden="1" customHeight="1" x14ac:dyDescent="0.25">
      <c r="A993" s="25" t="s">
        <v>288</v>
      </c>
      <c r="B993" s="20" t="s">
        <v>507</v>
      </c>
      <c r="C993" s="20" t="s">
        <v>134</v>
      </c>
      <c r="D993" s="20" t="s">
        <v>1082</v>
      </c>
      <c r="E993" s="20" t="s">
        <v>289</v>
      </c>
      <c r="F993" s="6">
        <f t="shared" ref="F993:G993" si="488">F994</f>
        <v>0</v>
      </c>
      <c r="G993" s="6">
        <f t="shared" si="488"/>
        <v>0</v>
      </c>
      <c r="H993" s="6" t="e">
        <f t="shared" si="479"/>
        <v>#DIV/0!</v>
      </c>
    </row>
    <row r="994" spans="1:8" ht="15.75" hidden="1" customHeight="1" x14ac:dyDescent="0.25">
      <c r="A994" s="25" t="s">
        <v>290</v>
      </c>
      <c r="B994" s="20" t="s">
        <v>507</v>
      </c>
      <c r="C994" s="20" t="s">
        <v>134</v>
      </c>
      <c r="D994" s="20" t="s">
        <v>1082</v>
      </c>
      <c r="E994" s="20" t="s">
        <v>291</v>
      </c>
      <c r="F994" s="6">
        <f>'Пр.4 ведом.20'!G828</f>
        <v>0</v>
      </c>
      <c r="G994" s="6">
        <f>'Пр.4 ведом.20'!H828</f>
        <v>0</v>
      </c>
      <c r="H994" s="6" t="e">
        <f t="shared" si="479"/>
        <v>#DIV/0!</v>
      </c>
    </row>
    <row r="995" spans="1:8" ht="34.5" customHeight="1" x14ac:dyDescent="0.25">
      <c r="A995" s="45" t="s">
        <v>787</v>
      </c>
      <c r="B995" s="20" t="s">
        <v>507</v>
      </c>
      <c r="C995" s="20" t="s">
        <v>134</v>
      </c>
      <c r="D995" s="20" t="s">
        <v>1083</v>
      </c>
      <c r="E995" s="20"/>
      <c r="F995" s="6">
        <f>'Пр.4 ведом.20'!G831</f>
        <v>1205.8</v>
      </c>
      <c r="G995" s="6">
        <f>'Пр.4 ведом.20'!H831</f>
        <v>1205.8</v>
      </c>
      <c r="H995" s="6">
        <f t="shared" si="479"/>
        <v>100</v>
      </c>
    </row>
    <row r="996" spans="1:8" ht="39.75" customHeight="1" x14ac:dyDescent="0.25">
      <c r="A996" s="31" t="s">
        <v>288</v>
      </c>
      <c r="B996" s="20" t="s">
        <v>507</v>
      </c>
      <c r="C996" s="20" t="s">
        <v>134</v>
      </c>
      <c r="D996" s="20" t="s">
        <v>1083</v>
      </c>
      <c r="E996" s="20" t="s">
        <v>289</v>
      </c>
      <c r="F996" s="6">
        <f>F997</f>
        <v>1205.8</v>
      </c>
      <c r="G996" s="6">
        <f t="shared" ref="G996" si="489">G997</f>
        <v>1205.8</v>
      </c>
      <c r="H996" s="6">
        <f t="shared" si="479"/>
        <v>100</v>
      </c>
    </row>
    <row r="997" spans="1:8" ht="15.75" x14ac:dyDescent="0.25">
      <c r="A997" s="31" t="s">
        <v>290</v>
      </c>
      <c r="B997" s="20" t="s">
        <v>507</v>
      </c>
      <c r="C997" s="20" t="s">
        <v>134</v>
      </c>
      <c r="D997" s="20" t="s">
        <v>1083</v>
      </c>
      <c r="E997" s="20" t="s">
        <v>291</v>
      </c>
      <c r="F997" s="6">
        <f>'Пр.4 ведом.20'!G831</f>
        <v>1205.8</v>
      </c>
      <c r="G997" s="6">
        <f>'Пр.4 ведом.20'!H831</f>
        <v>1205.8</v>
      </c>
      <c r="H997" s="6">
        <f t="shared" si="479"/>
        <v>100</v>
      </c>
    </row>
    <row r="998" spans="1:8" ht="47.25" x14ac:dyDescent="0.25">
      <c r="A998" s="23" t="s">
        <v>971</v>
      </c>
      <c r="B998" s="24" t="s">
        <v>507</v>
      </c>
      <c r="C998" s="24" t="s">
        <v>134</v>
      </c>
      <c r="D998" s="24" t="s">
        <v>1084</v>
      </c>
      <c r="E998" s="24"/>
      <c r="F998" s="4">
        <f>F1002+F999</f>
        <v>813.5</v>
      </c>
      <c r="G998" s="4">
        <f t="shared" ref="G998" si="490">G1002+G999</f>
        <v>490</v>
      </c>
      <c r="H998" s="4">
        <f t="shared" si="479"/>
        <v>60.233558696988318</v>
      </c>
    </row>
    <row r="999" spans="1:8" s="331" customFormat="1" ht="94.5" x14ac:dyDescent="0.25">
      <c r="A999" s="31" t="s">
        <v>309</v>
      </c>
      <c r="B999" s="338" t="s">
        <v>507</v>
      </c>
      <c r="C999" s="338" t="s">
        <v>134</v>
      </c>
      <c r="D999" s="338" t="s">
        <v>1521</v>
      </c>
      <c r="E999" s="338"/>
      <c r="F999" s="6">
        <f>F1000</f>
        <v>813.5</v>
      </c>
      <c r="G999" s="6">
        <f t="shared" ref="G999:G1000" si="491">G1000</f>
        <v>490</v>
      </c>
      <c r="H999" s="6">
        <f t="shared" si="479"/>
        <v>60.233558696988318</v>
      </c>
    </row>
    <row r="1000" spans="1:8" s="331" customFormat="1" ht="31.5" x14ac:dyDescent="0.25">
      <c r="A1000" s="342" t="s">
        <v>288</v>
      </c>
      <c r="B1000" s="338" t="s">
        <v>507</v>
      </c>
      <c r="C1000" s="338" t="s">
        <v>134</v>
      </c>
      <c r="D1000" s="338" t="s">
        <v>1521</v>
      </c>
      <c r="E1000" s="338" t="s">
        <v>289</v>
      </c>
      <c r="F1000" s="6">
        <f>F1001</f>
        <v>813.5</v>
      </c>
      <c r="G1000" s="6">
        <f t="shared" si="491"/>
        <v>490</v>
      </c>
      <c r="H1000" s="6">
        <f t="shared" si="479"/>
        <v>60.233558696988318</v>
      </c>
    </row>
    <row r="1001" spans="1:8" s="331" customFormat="1" ht="15.75" x14ac:dyDescent="0.25">
      <c r="A1001" s="342" t="s">
        <v>290</v>
      </c>
      <c r="B1001" s="338" t="s">
        <v>507</v>
      </c>
      <c r="C1001" s="338" t="s">
        <v>134</v>
      </c>
      <c r="D1001" s="338" t="s">
        <v>1521</v>
      </c>
      <c r="E1001" s="338" t="s">
        <v>291</v>
      </c>
      <c r="F1001" s="6">
        <f>'Пр.4 ведом.20'!G835</f>
        <v>813.5</v>
      </c>
      <c r="G1001" s="6">
        <f>'Пр.4 ведом.20'!H835</f>
        <v>490</v>
      </c>
      <c r="H1001" s="6">
        <f t="shared" si="479"/>
        <v>60.233558696988318</v>
      </c>
    </row>
    <row r="1002" spans="1:8" ht="103.7" hidden="1" customHeight="1" x14ac:dyDescent="0.25">
      <c r="A1002" s="31" t="s">
        <v>480</v>
      </c>
      <c r="B1002" s="20" t="s">
        <v>507</v>
      </c>
      <c r="C1002" s="20" t="s">
        <v>134</v>
      </c>
      <c r="D1002" s="20" t="s">
        <v>1085</v>
      </c>
      <c r="E1002" s="20"/>
      <c r="F1002" s="6">
        <f>F1003</f>
        <v>0</v>
      </c>
      <c r="G1002" s="6">
        <f t="shared" ref="G1002" si="492">G1003</f>
        <v>0</v>
      </c>
      <c r="H1002" s="6" t="e">
        <f t="shared" si="479"/>
        <v>#DIV/0!</v>
      </c>
    </row>
    <row r="1003" spans="1:8" ht="31.5" hidden="1" x14ac:dyDescent="0.25">
      <c r="A1003" s="25" t="s">
        <v>288</v>
      </c>
      <c r="B1003" s="20" t="s">
        <v>507</v>
      </c>
      <c r="C1003" s="20" t="s">
        <v>134</v>
      </c>
      <c r="D1003" s="20" t="s">
        <v>1085</v>
      </c>
      <c r="E1003" s="20" t="s">
        <v>289</v>
      </c>
      <c r="F1003" s="6">
        <f t="shared" ref="F1003:G1018" si="493">F1004</f>
        <v>0</v>
      </c>
      <c r="G1003" s="6">
        <f t="shared" si="493"/>
        <v>0</v>
      </c>
      <c r="H1003" s="6" t="e">
        <f t="shared" si="479"/>
        <v>#DIV/0!</v>
      </c>
    </row>
    <row r="1004" spans="1:8" ht="15.75" hidden="1" x14ac:dyDescent="0.25">
      <c r="A1004" s="25" t="s">
        <v>290</v>
      </c>
      <c r="B1004" s="20" t="s">
        <v>507</v>
      </c>
      <c r="C1004" s="20" t="s">
        <v>134</v>
      </c>
      <c r="D1004" s="20" t="s">
        <v>1085</v>
      </c>
      <c r="E1004" s="20" t="s">
        <v>291</v>
      </c>
      <c r="F1004" s="6">
        <f>'Пр.4 ведом.20'!G838</f>
        <v>0</v>
      </c>
      <c r="G1004" s="6">
        <f>'Пр.4 ведом.20'!H838</f>
        <v>0</v>
      </c>
      <c r="H1004" s="6" t="e">
        <f t="shared" si="479"/>
        <v>#DIV/0!</v>
      </c>
    </row>
    <row r="1005" spans="1:8" s="217" customFormat="1" ht="63" x14ac:dyDescent="0.25">
      <c r="A1005" s="23" t="s">
        <v>1485</v>
      </c>
      <c r="B1005" s="24" t="s">
        <v>507</v>
      </c>
      <c r="C1005" s="24" t="s">
        <v>134</v>
      </c>
      <c r="D1005" s="24" t="s">
        <v>1482</v>
      </c>
      <c r="E1005" s="24"/>
      <c r="F1005" s="4">
        <f>F1006</f>
        <v>439.56040000000002</v>
      </c>
      <c r="G1005" s="4">
        <f t="shared" ref="G1005:G1007" si="494">G1006</f>
        <v>439.6</v>
      </c>
      <c r="H1005" s="4">
        <f t="shared" si="479"/>
        <v>100.00900900081082</v>
      </c>
    </row>
    <row r="1006" spans="1:8" s="217" customFormat="1" ht="63" x14ac:dyDescent="0.25">
      <c r="A1006" s="25" t="s">
        <v>1487</v>
      </c>
      <c r="B1006" s="20" t="s">
        <v>507</v>
      </c>
      <c r="C1006" s="20" t="s">
        <v>134</v>
      </c>
      <c r="D1006" s="20" t="s">
        <v>1481</v>
      </c>
      <c r="E1006" s="20"/>
      <c r="F1006" s="6">
        <f>F1007</f>
        <v>439.56040000000002</v>
      </c>
      <c r="G1006" s="6">
        <f t="shared" si="494"/>
        <v>439.6</v>
      </c>
      <c r="H1006" s="6">
        <f t="shared" si="479"/>
        <v>100.00900900081082</v>
      </c>
    </row>
    <row r="1007" spans="1:8" s="217" customFormat="1" ht="31.5" x14ac:dyDescent="0.25">
      <c r="A1007" s="25" t="s">
        <v>288</v>
      </c>
      <c r="B1007" s="20" t="s">
        <v>507</v>
      </c>
      <c r="C1007" s="20" t="s">
        <v>134</v>
      </c>
      <c r="D1007" s="20" t="s">
        <v>1481</v>
      </c>
      <c r="E1007" s="20" t="s">
        <v>289</v>
      </c>
      <c r="F1007" s="6">
        <f>F1008</f>
        <v>439.56040000000002</v>
      </c>
      <c r="G1007" s="6">
        <f t="shared" si="494"/>
        <v>439.6</v>
      </c>
      <c r="H1007" s="6">
        <f t="shared" si="479"/>
        <v>100.00900900081082</v>
      </c>
    </row>
    <row r="1008" spans="1:8" s="217" customFormat="1" ht="15.75" x14ac:dyDescent="0.25">
      <c r="A1008" s="25" t="s">
        <v>290</v>
      </c>
      <c r="B1008" s="20" t="s">
        <v>507</v>
      </c>
      <c r="C1008" s="20" t="s">
        <v>134</v>
      </c>
      <c r="D1008" s="20" t="s">
        <v>1481</v>
      </c>
      <c r="E1008" s="20" t="s">
        <v>291</v>
      </c>
      <c r="F1008" s="6">
        <f>'Пр.4 ведом.20'!G842</f>
        <v>439.56040000000002</v>
      </c>
      <c r="G1008" s="6">
        <f>'Пр.4 ведом.20'!H842</f>
        <v>439.6</v>
      </c>
      <c r="H1008" s="6">
        <f t="shared" si="479"/>
        <v>100.00900900081082</v>
      </c>
    </row>
    <row r="1009" spans="1:8" s="332" customFormat="1" ht="47.25" x14ac:dyDescent="0.25">
      <c r="A1009" s="340" t="s">
        <v>1507</v>
      </c>
      <c r="B1009" s="341" t="s">
        <v>507</v>
      </c>
      <c r="C1009" s="341" t="s">
        <v>134</v>
      </c>
      <c r="D1009" s="341" t="s">
        <v>1509</v>
      </c>
      <c r="E1009" s="338"/>
      <c r="F1009" s="339">
        <f>F1010+F1013</f>
        <v>5031.17</v>
      </c>
      <c r="G1009" s="339">
        <f t="shared" ref="G1009" si="495">G1010+G1013</f>
        <v>0</v>
      </c>
      <c r="H1009" s="4">
        <f t="shared" si="479"/>
        <v>0</v>
      </c>
    </row>
    <row r="1010" spans="1:8" s="332" customFormat="1" ht="63" x14ac:dyDescent="0.25">
      <c r="A1010" s="342" t="s">
        <v>1508</v>
      </c>
      <c r="B1010" s="338" t="s">
        <v>507</v>
      </c>
      <c r="C1010" s="338" t="s">
        <v>134</v>
      </c>
      <c r="D1010" s="338" t="s">
        <v>1510</v>
      </c>
      <c r="E1010" s="338"/>
      <c r="F1010" s="343">
        <f>F1011</f>
        <v>206.27</v>
      </c>
      <c r="G1010" s="343">
        <f t="shared" ref="G1010:G1011" si="496">G1011</f>
        <v>0</v>
      </c>
      <c r="H1010" s="6">
        <f t="shared" si="479"/>
        <v>0</v>
      </c>
    </row>
    <row r="1011" spans="1:8" s="332" customFormat="1" ht="31.5" x14ac:dyDescent="0.25">
      <c r="A1011" s="342" t="s">
        <v>288</v>
      </c>
      <c r="B1011" s="338" t="s">
        <v>507</v>
      </c>
      <c r="C1011" s="338" t="s">
        <v>134</v>
      </c>
      <c r="D1011" s="338" t="s">
        <v>1510</v>
      </c>
      <c r="E1011" s="338" t="s">
        <v>289</v>
      </c>
      <c r="F1011" s="343">
        <f>F1012</f>
        <v>206.27</v>
      </c>
      <c r="G1011" s="343">
        <f t="shared" si="496"/>
        <v>0</v>
      </c>
      <c r="H1011" s="6">
        <f t="shared" si="479"/>
        <v>0</v>
      </c>
    </row>
    <row r="1012" spans="1:8" s="332" customFormat="1" ht="15.75" x14ac:dyDescent="0.25">
      <c r="A1012" s="342" t="s">
        <v>290</v>
      </c>
      <c r="B1012" s="338" t="s">
        <v>507</v>
      </c>
      <c r="C1012" s="338" t="s">
        <v>134</v>
      </c>
      <c r="D1012" s="338" t="s">
        <v>1510</v>
      </c>
      <c r="E1012" s="338" t="s">
        <v>291</v>
      </c>
      <c r="F1012" s="343">
        <f>'Пр.4 ведом.20'!G846</f>
        <v>206.27</v>
      </c>
      <c r="G1012" s="343">
        <f>'Пр.4 ведом.20'!H846</f>
        <v>0</v>
      </c>
      <c r="H1012" s="6">
        <f t="shared" si="479"/>
        <v>0</v>
      </c>
    </row>
    <row r="1013" spans="1:8" s="332" customFormat="1" ht="47.25" x14ac:dyDescent="0.25">
      <c r="A1013" s="342" t="s">
        <v>1506</v>
      </c>
      <c r="B1013" s="338" t="s">
        <v>507</v>
      </c>
      <c r="C1013" s="338" t="s">
        <v>134</v>
      </c>
      <c r="D1013" s="338" t="s">
        <v>1511</v>
      </c>
      <c r="E1013" s="338"/>
      <c r="F1013" s="343">
        <f>F1014</f>
        <v>4824.8999999999996</v>
      </c>
      <c r="G1013" s="343">
        <f t="shared" ref="G1013:G1014" si="497">G1014</f>
        <v>0</v>
      </c>
      <c r="H1013" s="6">
        <f t="shared" si="479"/>
        <v>0</v>
      </c>
    </row>
    <row r="1014" spans="1:8" s="332" customFormat="1" ht="31.5" x14ac:dyDescent="0.25">
      <c r="A1014" s="342" t="s">
        <v>288</v>
      </c>
      <c r="B1014" s="338" t="s">
        <v>507</v>
      </c>
      <c r="C1014" s="338" t="s">
        <v>134</v>
      </c>
      <c r="D1014" s="338" t="s">
        <v>1511</v>
      </c>
      <c r="E1014" s="338" t="s">
        <v>289</v>
      </c>
      <c r="F1014" s="343">
        <f>F1015</f>
        <v>4824.8999999999996</v>
      </c>
      <c r="G1014" s="343">
        <f t="shared" si="497"/>
        <v>0</v>
      </c>
      <c r="H1014" s="6">
        <f t="shared" si="479"/>
        <v>0</v>
      </c>
    </row>
    <row r="1015" spans="1:8" s="332" customFormat="1" ht="15.75" x14ac:dyDescent="0.25">
      <c r="A1015" s="342" t="s">
        <v>290</v>
      </c>
      <c r="B1015" s="338" t="s">
        <v>507</v>
      </c>
      <c r="C1015" s="338" t="s">
        <v>134</v>
      </c>
      <c r="D1015" s="338" t="s">
        <v>1511</v>
      </c>
      <c r="E1015" s="338" t="s">
        <v>291</v>
      </c>
      <c r="F1015" s="343">
        <f>'Пр.4 ведом.20'!G849</f>
        <v>4824.8999999999996</v>
      </c>
      <c r="G1015" s="343">
        <f>'Пр.4 ведом.20'!H849</f>
        <v>0</v>
      </c>
      <c r="H1015" s="6">
        <f t="shared" si="479"/>
        <v>0</v>
      </c>
    </row>
    <row r="1016" spans="1:8" ht="63" x14ac:dyDescent="0.25">
      <c r="A1016" s="41" t="s">
        <v>1179</v>
      </c>
      <c r="B1016" s="24" t="s">
        <v>507</v>
      </c>
      <c r="C1016" s="24" t="s">
        <v>134</v>
      </c>
      <c r="D1016" s="24" t="s">
        <v>728</v>
      </c>
      <c r="E1016" s="235"/>
      <c r="F1016" s="4">
        <f t="shared" si="493"/>
        <v>540.1</v>
      </c>
      <c r="G1016" s="4">
        <f t="shared" si="493"/>
        <v>194.44</v>
      </c>
      <c r="H1016" s="6">
        <f t="shared" si="479"/>
        <v>36.000740603591922</v>
      </c>
    </row>
    <row r="1017" spans="1:8" ht="47.25" x14ac:dyDescent="0.25">
      <c r="A1017" s="41" t="s">
        <v>949</v>
      </c>
      <c r="B1017" s="24" t="s">
        <v>507</v>
      </c>
      <c r="C1017" s="24" t="s">
        <v>134</v>
      </c>
      <c r="D1017" s="24" t="s">
        <v>947</v>
      </c>
      <c r="E1017" s="235"/>
      <c r="F1017" s="4">
        <f>F1018</f>
        <v>540.1</v>
      </c>
      <c r="G1017" s="4">
        <f t="shared" si="493"/>
        <v>194.44</v>
      </c>
      <c r="H1017" s="6">
        <f t="shared" si="479"/>
        <v>36.000740603591922</v>
      </c>
    </row>
    <row r="1018" spans="1:8" ht="47.25" x14ac:dyDescent="0.25">
      <c r="A1018" s="99" t="s">
        <v>803</v>
      </c>
      <c r="B1018" s="20" t="s">
        <v>507</v>
      </c>
      <c r="C1018" s="20" t="s">
        <v>134</v>
      </c>
      <c r="D1018" s="20" t="s">
        <v>1027</v>
      </c>
      <c r="E1018" s="32"/>
      <c r="F1018" s="6">
        <f>F1019</f>
        <v>540.1</v>
      </c>
      <c r="G1018" s="6">
        <f t="shared" si="493"/>
        <v>194.44</v>
      </c>
      <c r="H1018" s="6">
        <f t="shared" si="479"/>
        <v>36.000740603591922</v>
      </c>
    </row>
    <row r="1019" spans="1:8" ht="31.5" x14ac:dyDescent="0.25">
      <c r="A1019" s="29" t="s">
        <v>288</v>
      </c>
      <c r="B1019" s="20" t="s">
        <v>507</v>
      </c>
      <c r="C1019" s="20" t="s">
        <v>134</v>
      </c>
      <c r="D1019" s="20" t="s">
        <v>1027</v>
      </c>
      <c r="E1019" s="32" t="s">
        <v>289</v>
      </c>
      <c r="F1019" s="6">
        <f>F1020</f>
        <v>540.1</v>
      </c>
      <c r="G1019" s="6">
        <f t="shared" ref="G1019" si="498">G1020</f>
        <v>194.44</v>
      </c>
      <c r="H1019" s="6">
        <f t="shared" si="479"/>
        <v>36.000740603591922</v>
      </c>
    </row>
    <row r="1020" spans="1:8" ht="15.75" x14ac:dyDescent="0.25">
      <c r="A1020" s="192" t="s">
        <v>290</v>
      </c>
      <c r="B1020" s="20" t="s">
        <v>507</v>
      </c>
      <c r="C1020" s="20" t="s">
        <v>134</v>
      </c>
      <c r="D1020" s="20" t="s">
        <v>1027</v>
      </c>
      <c r="E1020" s="32" t="s">
        <v>291</v>
      </c>
      <c r="F1020" s="6">
        <f>'Пр.4 ведом.20'!G854</f>
        <v>540.1</v>
      </c>
      <c r="G1020" s="6">
        <f>'Пр.4 ведом.20'!H854</f>
        <v>194.44</v>
      </c>
      <c r="H1020" s="6">
        <f t="shared" si="479"/>
        <v>36.000740603591922</v>
      </c>
    </row>
    <row r="1021" spans="1:8" ht="31.5" x14ac:dyDescent="0.25">
      <c r="A1021" s="23" t="s">
        <v>516</v>
      </c>
      <c r="B1021" s="24" t="s">
        <v>507</v>
      </c>
      <c r="C1021" s="24" t="s">
        <v>250</v>
      </c>
      <c r="D1021" s="24"/>
      <c r="E1021" s="24"/>
      <c r="F1021" s="4">
        <f>F1022+F1030+F1042</f>
        <v>13218.2</v>
      </c>
      <c r="G1021" s="4">
        <f t="shared" ref="G1021" si="499">G1022+G1030+G1042</f>
        <v>6389.05</v>
      </c>
      <c r="H1021" s="4">
        <f t="shared" si="479"/>
        <v>48.335249882737436</v>
      </c>
    </row>
    <row r="1022" spans="1:8" ht="31.5" x14ac:dyDescent="0.25">
      <c r="A1022" s="23" t="s">
        <v>990</v>
      </c>
      <c r="B1022" s="24" t="s">
        <v>507</v>
      </c>
      <c r="C1022" s="24" t="s">
        <v>250</v>
      </c>
      <c r="D1022" s="24" t="s">
        <v>904</v>
      </c>
      <c r="E1022" s="24"/>
      <c r="F1022" s="4">
        <f>F1023</f>
        <v>5160.8999999999996</v>
      </c>
      <c r="G1022" s="4">
        <f t="shared" ref="G1022" si="500">G1023</f>
        <v>3139.25</v>
      </c>
      <c r="H1022" s="4">
        <f t="shared" si="479"/>
        <v>60.827568834893142</v>
      </c>
    </row>
    <row r="1023" spans="1:8" ht="15.75" x14ac:dyDescent="0.25">
      <c r="A1023" s="23" t="s">
        <v>991</v>
      </c>
      <c r="B1023" s="24" t="s">
        <v>507</v>
      </c>
      <c r="C1023" s="24" t="s">
        <v>250</v>
      </c>
      <c r="D1023" s="24" t="s">
        <v>905</v>
      </c>
      <c r="E1023" s="24"/>
      <c r="F1023" s="4">
        <f>F1024+F1027</f>
        <v>5160.8999999999996</v>
      </c>
      <c r="G1023" s="4">
        <f t="shared" ref="G1023" si="501">G1024+G1027</f>
        <v>3139.25</v>
      </c>
      <c r="H1023" s="4">
        <f t="shared" si="479"/>
        <v>60.827568834893142</v>
      </c>
    </row>
    <row r="1024" spans="1:8" ht="31.5" x14ac:dyDescent="0.25">
      <c r="A1024" s="25" t="s">
        <v>967</v>
      </c>
      <c r="B1024" s="20" t="s">
        <v>507</v>
      </c>
      <c r="C1024" s="20" t="s">
        <v>250</v>
      </c>
      <c r="D1024" s="20" t="s">
        <v>906</v>
      </c>
      <c r="E1024" s="20"/>
      <c r="F1024" s="6">
        <f>F1025</f>
        <v>4798.8999999999996</v>
      </c>
      <c r="G1024" s="6">
        <f t="shared" ref="G1024:G1025" si="502">G1025</f>
        <v>2777.25</v>
      </c>
      <c r="H1024" s="6">
        <f t="shared" si="479"/>
        <v>57.872637479422373</v>
      </c>
    </row>
    <row r="1025" spans="1:8" ht="78.75" x14ac:dyDescent="0.25">
      <c r="A1025" s="25" t="s">
        <v>143</v>
      </c>
      <c r="B1025" s="20" t="s">
        <v>507</v>
      </c>
      <c r="C1025" s="20" t="s">
        <v>250</v>
      </c>
      <c r="D1025" s="20" t="s">
        <v>906</v>
      </c>
      <c r="E1025" s="20" t="s">
        <v>144</v>
      </c>
      <c r="F1025" s="6">
        <f>F1026</f>
        <v>4798.8999999999996</v>
      </c>
      <c r="G1025" s="6">
        <f t="shared" si="502"/>
        <v>2777.25</v>
      </c>
      <c r="H1025" s="6">
        <f t="shared" si="479"/>
        <v>57.872637479422373</v>
      </c>
    </row>
    <row r="1026" spans="1:8" ht="31.5" x14ac:dyDescent="0.25">
      <c r="A1026" s="25" t="s">
        <v>145</v>
      </c>
      <c r="B1026" s="20" t="s">
        <v>507</v>
      </c>
      <c r="C1026" s="20" t="s">
        <v>250</v>
      </c>
      <c r="D1026" s="20" t="s">
        <v>906</v>
      </c>
      <c r="E1026" s="20" t="s">
        <v>146</v>
      </c>
      <c r="F1026" s="6">
        <f>'Пр.4 ведом.20'!G860</f>
        <v>4798.8999999999996</v>
      </c>
      <c r="G1026" s="6">
        <f>'Пр.4 ведом.20'!H860</f>
        <v>2777.25</v>
      </c>
      <c r="H1026" s="6">
        <f t="shared" si="479"/>
        <v>57.872637479422373</v>
      </c>
    </row>
    <row r="1027" spans="1:8" ht="47.25" x14ac:dyDescent="0.25">
      <c r="A1027" s="25" t="s">
        <v>885</v>
      </c>
      <c r="B1027" s="20" t="s">
        <v>507</v>
      </c>
      <c r="C1027" s="20" t="s">
        <v>250</v>
      </c>
      <c r="D1027" s="20" t="s">
        <v>908</v>
      </c>
      <c r="E1027" s="20"/>
      <c r="F1027" s="6">
        <f>F1028</f>
        <v>362</v>
      </c>
      <c r="G1027" s="6">
        <f t="shared" ref="G1027:G1028" si="503">G1028</f>
        <v>362</v>
      </c>
      <c r="H1027" s="6">
        <f t="shared" si="479"/>
        <v>100</v>
      </c>
    </row>
    <row r="1028" spans="1:8" ht="78.75" x14ac:dyDescent="0.25">
      <c r="A1028" s="25" t="s">
        <v>143</v>
      </c>
      <c r="B1028" s="20" t="s">
        <v>507</v>
      </c>
      <c r="C1028" s="20" t="s">
        <v>250</v>
      </c>
      <c r="D1028" s="20" t="s">
        <v>908</v>
      </c>
      <c r="E1028" s="20" t="s">
        <v>144</v>
      </c>
      <c r="F1028" s="6">
        <f>F1029</f>
        <v>362</v>
      </c>
      <c r="G1028" s="6">
        <f t="shared" si="503"/>
        <v>362</v>
      </c>
      <c r="H1028" s="6">
        <f t="shared" si="479"/>
        <v>100</v>
      </c>
    </row>
    <row r="1029" spans="1:8" ht="31.5" x14ac:dyDescent="0.25">
      <c r="A1029" s="25" t="s">
        <v>145</v>
      </c>
      <c r="B1029" s="20" t="s">
        <v>507</v>
      </c>
      <c r="C1029" s="20" t="s">
        <v>250</v>
      </c>
      <c r="D1029" s="20" t="s">
        <v>908</v>
      </c>
      <c r="E1029" s="20" t="s">
        <v>146</v>
      </c>
      <c r="F1029" s="6">
        <f>'Пр.4 ведом.20'!G863</f>
        <v>362</v>
      </c>
      <c r="G1029" s="6">
        <f>'Пр.4 ведом.20'!H863</f>
        <v>362</v>
      </c>
      <c r="H1029" s="6">
        <f t="shared" si="479"/>
        <v>100</v>
      </c>
    </row>
    <row r="1030" spans="1:8" ht="15.75" x14ac:dyDescent="0.25">
      <c r="A1030" s="23" t="s">
        <v>157</v>
      </c>
      <c r="B1030" s="24" t="s">
        <v>507</v>
      </c>
      <c r="C1030" s="24" t="s">
        <v>250</v>
      </c>
      <c r="D1030" s="24" t="s">
        <v>912</v>
      </c>
      <c r="E1030" s="24"/>
      <c r="F1030" s="4">
        <f>F1031</f>
        <v>5057.3</v>
      </c>
      <c r="G1030" s="4">
        <f t="shared" ref="G1030" si="504">G1031</f>
        <v>2364.17</v>
      </c>
      <c r="H1030" s="4">
        <f t="shared" si="479"/>
        <v>46.747671682518337</v>
      </c>
    </row>
    <row r="1031" spans="1:8" ht="31.5" x14ac:dyDescent="0.25">
      <c r="A1031" s="23" t="s">
        <v>1002</v>
      </c>
      <c r="B1031" s="24" t="s">
        <v>507</v>
      </c>
      <c r="C1031" s="24" t="s">
        <v>250</v>
      </c>
      <c r="D1031" s="24" t="s">
        <v>987</v>
      </c>
      <c r="E1031" s="24"/>
      <c r="F1031" s="4">
        <f>F1032+F1039</f>
        <v>5057.3</v>
      </c>
      <c r="G1031" s="4">
        <f t="shared" ref="G1031" si="505">G1032+G1039</f>
        <v>2364.17</v>
      </c>
      <c r="H1031" s="4">
        <f t="shared" si="479"/>
        <v>46.747671682518337</v>
      </c>
    </row>
    <row r="1032" spans="1:8" ht="31.5" x14ac:dyDescent="0.25">
      <c r="A1032" s="25" t="s">
        <v>974</v>
      </c>
      <c r="B1032" s="20" t="s">
        <v>507</v>
      </c>
      <c r="C1032" s="20" t="s">
        <v>250</v>
      </c>
      <c r="D1032" s="20" t="s">
        <v>988</v>
      </c>
      <c r="E1032" s="20"/>
      <c r="F1032" s="6">
        <f>F1033+F1035+F1037</f>
        <v>4973.3</v>
      </c>
      <c r="G1032" s="6">
        <f t="shared" ref="G1032" si="506">G1033+G1035+G1037</f>
        <v>2280.17</v>
      </c>
      <c r="H1032" s="6">
        <f t="shared" si="479"/>
        <v>45.84822954577443</v>
      </c>
    </row>
    <row r="1033" spans="1:8" ht="78.75" x14ac:dyDescent="0.25">
      <c r="A1033" s="25" t="s">
        <v>143</v>
      </c>
      <c r="B1033" s="20" t="s">
        <v>507</v>
      </c>
      <c r="C1033" s="20" t="s">
        <v>250</v>
      </c>
      <c r="D1033" s="20" t="s">
        <v>988</v>
      </c>
      <c r="E1033" s="20" t="s">
        <v>144</v>
      </c>
      <c r="F1033" s="6">
        <f>F1034</f>
        <v>4617</v>
      </c>
      <c r="G1033" s="6">
        <f t="shared" ref="G1033" si="507">G1034</f>
        <v>2185.17</v>
      </c>
      <c r="H1033" s="6">
        <f t="shared" si="479"/>
        <v>47.32878492527616</v>
      </c>
    </row>
    <row r="1034" spans="1:8" ht="31.5" x14ac:dyDescent="0.25">
      <c r="A1034" s="25" t="s">
        <v>358</v>
      </c>
      <c r="B1034" s="20" t="s">
        <v>507</v>
      </c>
      <c r="C1034" s="20" t="s">
        <v>250</v>
      </c>
      <c r="D1034" s="20" t="s">
        <v>988</v>
      </c>
      <c r="E1034" s="20" t="s">
        <v>225</v>
      </c>
      <c r="F1034" s="6">
        <f>'Пр.4 ведом.20'!G868</f>
        <v>4617</v>
      </c>
      <c r="G1034" s="6">
        <f>'Пр.4 ведом.20'!H868</f>
        <v>2185.17</v>
      </c>
      <c r="H1034" s="6">
        <f t="shared" si="479"/>
        <v>47.32878492527616</v>
      </c>
    </row>
    <row r="1035" spans="1:8" ht="31.5" x14ac:dyDescent="0.25">
      <c r="A1035" s="25" t="s">
        <v>147</v>
      </c>
      <c r="B1035" s="20" t="s">
        <v>507</v>
      </c>
      <c r="C1035" s="20" t="s">
        <v>250</v>
      </c>
      <c r="D1035" s="20" t="s">
        <v>988</v>
      </c>
      <c r="E1035" s="20" t="s">
        <v>148</v>
      </c>
      <c r="F1035" s="6">
        <f t="shared" ref="F1035:G1035" si="508">F1036</f>
        <v>305.3</v>
      </c>
      <c r="G1035" s="6">
        <f t="shared" si="508"/>
        <v>95</v>
      </c>
      <c r="H1035" s="6">
        <f t="shared" ref="H1035:H1069" si="509">G1035/F1035*100</f>
        <v>31.116934163118241</v>
      </c>
    </row>
    <row r="1036" spans="1:8" ht="31.5" x14ac:dyDescent="0.25">
      <c r="A1036" s="25" t="s">
        <v>149</v>
      </c>
      <c r="B1036" s="20" t="s">
        <v>507</v>
      </c>
      <c r="C1036" s="20" t="s">
        <v>250</v>
      </c>
      <c r="D1036" s="20" t="s">
        <v>988</v>
      </c>
      <c r="E1036" s="20" t="s">
        <v>150</v>
      </c>
      <c r="F1036" s="6">
        <f>'Пр.4 ведом.20'!G870</f>
        <v>305.3</v>
      </c>
      <c r="G1036" s="6">
        <f>'Пр.4 ведом.20'!H870</f>
        <v>95</v>
      </c>
      <c r="H1036" s="6">
        <f t="shared" si="509"/>
        <v>31.116934163118241</v>
      </c>
    </row>
    <row r="1037" spans="1:8" ht="15.75" x14ac:dyDescent="0.25">
      <c r="A1037" s="25" t="s">
        <v>151</v>
      </c>
      <c r="B1037" s="20" t="s">
        <v>507</v>
      </c>
      <c r="C1037" s="20" t="s">
        <v>250</v>
      </c>
      <c r="D1037" s="20" t="s">
        <v>988</v>
      </c>
      <c r="E1037" s="20" t="s">
        <v>161</v>
      </c>
      <c r="F1037" s="6">
        <f>F1038</f>
        <v>51</v>
      </c>
      <c r="G1037" s="6">
        <f t="shared" ref="G1037" si="510">G1038</f>
        <v>0</v>
      </c>
      <c r="H1037" s="6">
        <f t="shared" si="509"/>
        <v>0</v>
      </c>
    </row>
    <row r="1038" spans="1:8" ht="15.75" x14ac:dyDescent="0.25">
      <c r="A1038" s="25" t="s">
        <v>584</v>
      </c>
      <c r="B1038" s="20" t="s">
        <v>507</v>
      </c>
      <c r="C1038" s="20" t="s">
        <v>250</v>
      </c>
      <c r="D1038" s="20" t="s">
        <v>988</v>
      </c>
      <c r="E1038" s="20" t="s">
        <v>154</v>
      </c>
      <c r="F1038" s="6">
        <f>'Пр.4 ведом.20'!G872</f>
        <v>51</v>
      </c>
      <c r="G1038" s="6">
        <f>'Пр.4 ведом.20'!H872</f>
        <v>0</v>
      </c>
      <c r="H1038" s="6">
        <f t="shared" si="509"/>
        <v>0</v>
      </c>
    </row>
    <row r="1039" spans="1:8" ht="47.25" x14ac:dyDescent="0.25">
      <c r="A1039" s="25" t="s">
        <v>885</v>
      </c>
      <c r="B1039" s="20" t="s">
        <v>507</v>
      </c>
      <c r="C1039" s="20" t="s">
        <v>250</v>
      </c>
      <c r="D1039" s="20" t="s">
        <v>989</v>
      </c>
      <c r="E1039" s="20"/>
      <c r="F1039" s="6">
        <f>F1040</f>
        <v>84</v>
      </c>
      <c r="G1039" s="6">
        <f t="shared" ref="G1039" si="511">G1040</f>
        <v>84</v>
      </c>
      <c r="H1039" s="6">
        <f t="shared" si="509"/>
        <v>100</v>
      </c>
    </row>
    <row r="1040" spans="1:8" ht="78.75" x14ac:dyDescent="0.25">
      <c r="A1040" s="25" t="s">
        <v>143</v>
      </c>
      <c r="B1040" s="20" t="s">
        <v>507</v>
      </c>
      <c r="C1040" s="20" t="s">
        <v>250</v>
      </c>
      <c r="D1040" s="20" t="s">
        <v>989</v>
      </c>
      <c r="E1040" s="20" t="s">
        <v>144</v>
      </c>
      <c r="F1040" s="6">
        <f t="shared" ref="F1040:G1040" si="512">F1041</f>
        <v>84</v>
      </c>
      <c r="G1040" s="6">
        <f t="shared" si="512"/>
        <v>84</v>
      </c>
      <c r="H1040" s="6">
        <f t="shared" si="509"/>
        <v>100</v>
      </c>
    </row>
    <row r="1041" spans="1:8" ht="31.5" x14ac:dyDescent="0.25">
      <c r="A1041" s="25" t="s">
        <v>145</v>
      </c>
      <c r="B1041" s="20" t="s">
        <v>507</v>
      </c>
      <c r="C1041" s="20" t="s">
        <v>250</v>
      </c>
      <c r="D1041" s="20" t="s">
        <v>989</v>
      </c>
      <c r="E1041" s="20" t="s">
        <v>146</v>
      </c>
      <c r="F1041" s="6">
        <f>'Пр.4 ведом.20'!G875</f>
        <v>84</v>
      </c>
      <c r="G1041" s="6">
        <f>'Пр.4 ведом.20'!H875</f>
        <v>84</v>
      </c>
      <c r="H1041" s="6">
        <f t="shared" si="509"/>
        <v>100</v>
      </c>
    </row>
    <row r="1042" spans="1:8" ht="47.25" x14ac:dyDescent="0.25">
      <c r="A1042" s="41" t="s">
        <v>497</v>
      </c>
      <c r="B1042" s="24" t="s">
        <v>507</v>
      </c>
      <c r="C1042" s="24" t="s">
        <v>250</v>
      </c>
      <c r="D1042" s="7" t="s">
        <v>498</v>
      </c>
      <c r="E1042" s="24"/>
      <c r="F1042" s="4">
        <f>F1043</f>
        <v>3000</v>
      </c>
      <c r="G1042" s="4">
        <f t="shared" ref="G1042:G1044" si="513">G1043</f>
        <v>885.63</v>
      </c>
      <c r="H1042" s="4">
        <f t="shared" si="509"/>
        <v>29.520999999999997</v>
      </c>
    </row>
    <row r="1043" spans="1:8" ht="47.25" x14ac:dyDescent="0.25">
      <c r="A1043" s="58" t="s">
        <v>517</v>
      </c>
      <c r="B1043" s="24" t="s">
        <v>507</v>
      </c>
      <c r="C1043" s="24" t="s">
        <v>250</v>
      </c>
      <c r="D1043" s="7" t="s">
        <v>518</v>
      </c>
      <c r="E1043" s="24"/>
      <c r="F1043" s="4">
        <f>F1044</f>
        <v>3000</v>
      </c>
      <c r="G1043" s="4">
        <f t="shared" si="513"/>
        <v>885.63</v>
      </c>
      <c r="H1043" s="4">
        <f t="shared" si="509"/>
        <v>29.520999999999997</v>
      </c>
    </row>
    <row r="1044" spans="1:8" ht="33.75" customHeight="1" x14ac:dyDescent="0.25">
      <c r="A1044" s="58" t="s">
        <v>1086</v>
      </c>
      <c r="B1044" s="24" t="s">
        <v>507</v>
      </c>
      <c r="C1044" s="24" t="s">
        <v>250</v>
      </c>
      <c r="D1044" s="7" t="s">
        <v>1087</v>
      </c>
      <c r="E1044" s="24"/>
      <c r="F1044" s="4">
        <f>F1045</f>
        <v>3000</v>
      </c>
      <c r="G1044" s="4">
        <f t="shared" si="513"/>
        <v>885.63</v>
      </c>
      <c r="H1044" s="4">
        <f t="shared" si="509"/>
        <v>29.520999999999997</v>
      </c>
    </row>
    <row r="1045" spans="1:8" ht="15.75" x14ac:dyDescent="0.25">
      <c r="A1045" s="29" t="s">
        <v>1088</v>
      </c>
      <c r="B1045" s="20" t="s">
        <v>507</v>
      </c>
      <c r="C1045" s="20" t="s">
        <v>250</v>
      </c>
      <c r="D1045" s="40" t="s">
        <v>1236</v>
      </c>
      <c r="E1045" s="20"/>
      <c r="F1045" s="308">
        <f>F1046+F1048</f>
        <v>3000</v>
      </c>
      <c r="G1045" s="308">
        <f t="shared" ref="G1045" si="514">G1046+G1048</f>
        <v>885.63</v>
      </c>
      <c r="H1045" s="6">
        <f t="shared" si="509"/>
        <v>29.520999999999997</v>
      </c>
    </row>
    <row r="1046" spans="1:8" ht="78.75" x14ac:dyDescent="0.25">
      <c r="A1046" s="25" t="s">
        <v>143</v>
      </c>
      <c r="B1046" s="20" t="s">
        <v>507</v>
      </c>
      <c r="C1046" s="20" t="s">
        <v>250</v>
      </c>
      <c r="D1046" s="40" t="s">
        <v>1236</v>
      </c>
      <c r="E1046" s="20" t="s">
        <v>144</v>
      </c>
      <c r="F1046" s="308">
        <f>F1047</f>
        <v>2400</v>
      </c>
      <c r="G1046" s="308">
        <f t="shared" ref="G1046" si="515">G1047</f>
        <v>453</v>
      </c>
      <c r="H1046" s="6">
        <f t="shared" si="509"/>
        <v>18.875</v>
      </c>
    </row>
    <row r="1047" spans="1:8" ht="21.75" customHeight="1" x14ac:dyDescent="0.25">
      <c r="A1047" s="25" t="s">
        <v>358</v>
      </c>
      <c r="B1047" s="20" t="s">
        <v>507</v>
      </c>
      <c r="C1047" s="20" t="s">
        <v>250</v>
      </c>
      <c r="D1047" s="40" t="s">
        <v>1236</v>
      </c>
      <c r="E1047" s="20" t="s">
        <v>225</v>
      </c>
      <c r="F1047" s="308">
        <f>'Пр.4 ведом.20'!G881</f>
        <v>2400</v>
      </c>
      <c r="G1047" s="308">
        <f>'Пр.4 ведом.20'!H881</f>
        <v>453</v>
      </c>
      <c r="H1047" s="6">
        <f t="shared" si="509"/>
        <v>18.875</v>
      </c>
    </row>
    <row r="1048" spans="1:8" ht="36" customHeight="1" x14ac:dyDescent="0.25">
      <c r="A1048" s="29" t="s">
        <v>147</v>
      </c>
      <c r="B1048" s="20" t="s">
        <v>507</v>
      </c>
      <c r="C1048" s="20" t="s">
        <v>250</v>
      </c>
      <c r="D1048" s="40" t="s">
        <v>1236</v>
      </c>
      <c r="E1048" s="20" t="s">
        <v>148</v>
      </c>
      <c r="F1048" s="308">
        <f>F1049</f>
        <v>600</v>
      </c>
      <c r="G1048" s="308">
        <f t="shared" ref="G1048" si="516">G1049</f>
        <v>432.63</v>
      </c>
      <c r="H1048" s="6">
        <f t="shared" si="509"/>
        <v>72.10499999999999</v>
      </c>
    </row>
    <row r="1049" spans="1:8" ht="31.5" x14ac:dyDescent="0.25">
      <c r="A1049" s="29" t="s">
        <v>149</v>
      </c>
      <c r="B1049" s="20" t="s">
        <v>507</v>
      </c>
      <c r="C1049" s="20" t="s">
        <v>250</v>
      </c>
      <c r="D1049" s="40" t="s">
        <v>1236</v>
      </c>
      <c r="E1049" s="20" t="s">
        <v>150</v>
      </c>
      <c r="F1049" s="6">
        <f>'Пр.4 ведом.20'!G883</f>
        <v>600</v>
      </c>
      <c r="G1049" s="6">
        <f>'Пр.4 ведом.20'!H883</f>
        <v>432.63</v>
      </c>
      <c r="H1049" s="6">
        <f t="shared" si="509"/>
        <v>72.10499999999999</v>
      </c>
    </row>
    <row r="1050" spans="1:8" ht="15.75" x14ac:dyDescent="0.25">
      <c r="A1050" s="41" t="s">
        <v>598</v>
      </c>
      <c r="B1050" s="7" t="s">
        <v>254</v>
      </c>
      <c r="C1050" s="40"/>
      <c r="D1050" s="40"/>
      <c r="E1050" s="40"/>
      <c r="F1050" s="4">
        <f t="shared" ref="F1050:G1050" si="517">F1051</f>
        <v>6661</v>
      </c>
      <c r="G1050" s="4">
        <f t="shared" si="517"/>
        <v>3558.0699999999997</v>
      </c>
      <c r="H1050" s="4">
        <f t="shared" si="509"/>
        <v>53.416453985888005</v>
      </c>
    </row>
    <row r="1051" spans="1:8" ht="15.75" x14ac:dyDescent="0.25">
      <c r="A1051" s="41" t="s">
        <v>599</v>
      </c>
      <c r="B1051" s="7" t="s">
        <v>254</v>
      </c>
      <c r="C1051" s="7" t="s">
        <v>229</v>
      </c>
      <c r="D1051" s="7"/>
      <c r="E1051" s="7"/>
      <c r="F1051" s="4">
        <f>F1052+F1064</f>
        <v>6661</v>
      </c>
      <c r="G1051" s="4">
        <f t="shared" ref="G1051" si="518">G1052+G1064</f>
        <v>3558.0699999999997</v>
      </c>
      <c r="H1051" s="4">
        <f t="shared" si="509"/>
        <v>53.416453985888005</v>
      </c>
    </row>
    <row r="1052" spans="1:8" ht="15.75" x14ac:dyDescent="0.25">
      <c r="A1052" s="23" t="s">
        <v>157</v>
      </c>
      <c r="B1052" s="24" t="s">
        <v>254</v>
      </c>
      <c r="C1052" s="24" t="s">
        <v>229</v>
      </c>
      <c r="D1052" s="24" t="s">
        <v>912</v>
      </c>
      <c r="E1052" s="24"/>
      <c r="F1052" s="4">
        <f>F1053</f>
        <v>6589</v>
      </c>
      <c r="G1052" s="4">
        <f t="shared" ref="G1052" si="519">G1053</f>
        <v>3528.0699999999997</v>
      </c>
      <c r="H1052" s="4">
        <f t="shared" si="509"/>
        <v>53.544847473061161</v>
      </c>
    </row>
    <row r="1053" spans="1:8" ht="15.75" x14ac:dyDescent="0.25">
      <c r="A1053" s="23" t="s">
        <v>1090</v>
      </c>
      <c r="B1053" s="24" t="s">
        <v>254</v>
      </c>
      <c r="C1053" s="24" t="s">
        <v>229</v>
      </c>
      <c r="D1053" s="24" t="s">
        <v>1089</v>
      </c>
      <c r="E1053" s="24"/>
      <c r="F1053" s="4">
        <f>F1054+F1061</f>
        <v>6589</v>
      </c>
      <c r="G1053" s="4">
        <f t="shared" ref="G1053" si="520">G1054+G1061</f>
        <v>3528.0699999999997</v>
      </c>
      <c r="H1053" s="4">
        <f t="shared" si="509"/>
        <v>53.544847473061161</v>
      </c>
    </row>
    <row r="1054" spans="1:8" ht="15.75" x14ac:dyDescent="0.25">
      <c r="A1054" s="25" t="s">
        <v>834</v>
      </c>
      <c r="B1054" s="20" t="s">
        <v>254</v>
      </c>
      <c r="C1054" s="20" t="s">
        <v>229</v>
      </c>
      <c r="D1054" s="20" t="s">
        <v>1091</v>
      </c>
      <c r="E1054" s="20"/>
      <c r="F1054" s="6">
        <f>F1055+F1057+F1059</f>
        <v>6379</v>
      </c>
      <c r="G1054" s="6">
        <f t="shared" ref="G1054" si="521">G1055+G1057+G1059</f>
        <v>3441.7</v>
      </c>
      <c r="H1054" s="6">
        <f t="shared" si="509"/>
        <v>53.953597742592883</v>
      </c>
    </row>
    <row r="1055" spans="1:8" ht="78.75" x14ac:dyDescent="0.25">
      <c r="A1055" s="25" t="s">
        <v>143</v>
      </c>
      <c r="B1055" s="20" t="s">
        <v>254</v>
      </c>
      <c r="C1055" s="20" t="s">
        <v>229</v>
      </c>
      <c r="D1055" s="20" t="s">
        <v>1091</v>
      </c>
      <c r="E1055" s="20" t="s">
        <v>144</v>
      </c>
      <c r="F1055" s="6">
        <f>F1056</f>
        <v>5525</v>
      </c>
      <c r="G1055" s="6">
        <f t="shared" ref="G1055" si="522">G1056</f>
        <v>3080.5</v>
      </c>
      <c r="H1055" s="6">
        <f t="shared" si="509"/>
        <v>55.755656108597286</v>
      </c>
    </row>
    <row r="1056" spans="1:8" ht="15.75" x14ac:dyDescent="0.25">
      <c r="A1056" s="25" t="s">
        <v>224</v>
      </c>
      <c r="B1056" s="20" t="s">
        <v>254</v>
      </c>
      <c r="C1056" s="20" t="s">
        <v>229</v>
      </c>
      <c r="D1056" s="20" t="s">
        <v>1091</v>
      </c>
      <c r="E1056" s="20" t="s">
        <v>225</v>
      </c>
      <c r="F1056" s="6">
        <f>'Пр.4 ведом.20'!G479</f>
        <v>5525</v>
      </c>
      <c r="G1056" s="6">
        <f>'Пр.4 ведом.20'!H479</f>
        <v>3080.5</v>
      </c>
      <c r="H1056" s="6">
        <f t="shared" si="509"/>
        <v>55.755656108597286</v>
      </c>
    </row>
    <row r="1057" spans="1:8" ht="31.5" x14ac:dyDescent="0.25">
      <c r="A1057" s="25" t="s">
        <v>147</v>
      </c>
      <c r="B1057" s="20" t="s">
        <v>254</v>
      </c>
      <c r="C1057" s="20" t="s">
        <v>229</v>
      </c>
      <c r="D1057" s="20" t="s">
        <v>1091</v>
      </c>
      <c r="E1057" s="20" t="s">
        <v>148</v>
      </c>
      <c r="F1057" s="6">
        <f t="shared" ref="F1057:G1057" si="523">F1058</f>
        <v>804</v>
      </c>
      <c r="G1057" s="6">
        <f t="shared" si="523"/>
        <v>344.2</v>
      </c>
      <c r="H1057" s="6">
        <f t="shared" si="509"/>
        <v>42.810945273631837</v>
      </c>
    </row>
    <row r="1058" spans="1:8" ht="31.5" x14ac:dyDescent="0.25">
      <c r="A1058" s="25" t="s">
        <v>149</v>
      </c>
      <c r="B1058" s="20" t="s">
        <v>254</v>
      </c>
      <c r="C1058" s="20" t="s">
        <v>229</v>
      </c>
      <c r="D1058" s="20" t="s">
        <v>1091</v>
      </c>
      <c r="E1058" s="20" t="s">
        <v>150</v>
      </c>
      <c r="F1058" s="6">
        <f>'Пр.4 ведом.20'!G481</f>
        <v>804</v>
      </c>
      <c r="G1058" s="6">
        <f>'Пр.4 ведом.20'!H481</f>
        <v>344.2</v>
      </c>
      <c r="H1058" s="6">
        <f t="shared" si="509"/>
        <v>42.810945273631837</v>
      </c>
    </row>
    <row r="1059" spans="1:8" ht="15.75" x14ac:dyDescent="0.25">
      <c r="A1059" s="25" t="s">
        <v>151</v>
      </c>
      <c r="B1059" s="20" t="s">
        <v>254</v>
      </c>
      <c r="C1059" s="20" t="s">
        <v>229</v>
      </c>
      <c r="D1059" s="20" t="s">
        <v>1091</v>
      </c>
      <c r="E1059" s="20" t="s">
        <v>161</v>
      </c>
      <c r="F1059" s="308">
        <f t="shared" ref="F1059:G1059" si="524">F1060</f>
        <v>50</v>
      </c>
      <c r="G1059" s="308">
        <f t="shared" si="524"/>
        <v>17</v>
      </c>
      <c r="H1059" s="6">
        <f t="shared" si="509"/>
        <v>34</v>
      </c>
    </row>
    <row r="1060" spans="1:8" ht="15.75" x14ac:dyDescent="0.25">
      <c r="A1060" s="25" t="s">
        <v>584</v>
      </c>
      <c r="B1060" s="20" t="s">
        <v>254</v>
      </c>
      <c r="C1060" s="20" t="s">
        <v>229</v>
      </c>
      <c r="D1060" s="20" t="s">
        <v>1091</v>
      </c>
      <c r="E1060" s="20" t="s">
        <v>154</v>
      </c>
      <c r="F1060" s="308">
        <f>'Пр.4 ведом.20'!G483</f>
        <v>50</v>
      </c>
      <c r="G1060" s="308">
        <f>'Пр.4 ведом.20'!H483</f>
        <v>17</v>
      </c>
      <c r="H1060" s="6">
        <f t="shared" si="509"/>
        <v>34</v>
      </c>
    </row>
    <row r="1061" spans="1:8" ht="47.25" x14ac:dyDescent="0.25">
      <c r="A1061" s="25" t="s">
        <v>885</v>
      </c>
      <c r="B1061" s="20" t="s">
        <v>254</v>
      </c>
      <c r="C1061" s="20" t="s">
        <v>229</v>
      </c>
      <c r="D1061" s="20" t="s">
        <v>1092</v>
      </c>
      <c r="E1061" s="20"/>
      <c r="F1061" s="6">
        <f>F1062</f>
        <v>210</v>
      </c>
      <c r="G1061" s="6">
        <f t="shared" ref="G1061:G1062" si="525">G1062</f>
        <v>86.37</v>
      </c>
      <c r="H1061" s="6">
        <f t="shared" si="509"/>
        <v>41.128571428571433</v>
      </c>
    </row>
    <row r="1062" spans="1:8" ht="78.75" x14ac:dyDescent="0.25">
      <c r="A1062" s="25" t="s">
        <v>143</v>
      </c>
      <c r="B1062" s="20" t="s">
        <v>254</v>
      </c>
      <c r="C1062" s="20" t="s">
        <v>229</v>
      </c>
      <c r="D1062" s="20" t="s">
        <v>1092</v>
      </c>
      <c r="E1062" s="20" t="s">
        <v>144</v>
      </c>
      <c r="F1062" s="6">
        <f>F1063</f>
        <v>210</v>
      </c>
      <c r="G1062" s="6">
        <f t="shared" si="525"/>
        <v>86.37</v>
      </c>
      <c r="H1062" s="6">
        <f t="shared" si="509"/>
        <v>41.128571428571433</v>
      </c>
    </row>
    <row r="1063" spans="1:8" ht="31.5" x14ac:dyDescent="0.25">
      <c r="A1063" s="25" t="s">
        <v>145</v>
      </c>
      <c r="B1063" s="20" t="s">
        <v>254</v>
      </c>
      <c r="C1063" s="20" t="s">
        <v>229</v>
      </c>
      <c r="D1063" s="20" t="s">
        <v>1092</v>
      </c>
      <c r="E1063" s="20" t="s">
        <v>225</v>
      </c>
      <c r="F1063" s="6">
        <f>'Пр.4 ведом.20'!G486</f>
        <v>210</v>
      </c>
      <c r="G1063" s="6">
        <f>'Пр.4 ведом.20'!H486</f>
        <v>86.37</v>
      </c>
      <c r="H1063" s="6">
        <f t="shared" si="509"/>
        <v>41.128571428571433</v>
      </c>
    </row>
    <row r="1064" spans="1:8" ht="63" x14ac:dyDescent="0.25">
      <c r="A1064" s="41" t="s">
        <v>1179</v>
      </c>
      <c r="B1064" s="24" t="s">
        <v>254</v>
      </c>
      <c r="C1064" s="24" t="s">
        <v>229</v>
      </c>
      <c r="D1064" s="24" t="s">
        <v>728</v>
      </c>
      <c r="E1064" s="235"/>
      <c r="F1064" s="4">
        <f>F1065</f>
        <v>72</v>
      </c>
      <c r="G1064" s="4">
        <f t="shared" ref="G1064:G1067" si="526">G1065</f>
        <v>30</v>
      </c>
      <c r="H1064" s="4">
        <f t="shared" si="509"/>
        <v>41.666666666666671</v>
      </c>
    </row>
    <row r="1065" spans="1:8" s="217" customFormat="1" ht="47.25" x14ac:dyDescent="0.25">
      <c r="A1065" s="41" t="s">
        <v>949</v>
      </c>
      <c r="B1065" s="24" t="s">
        <v>254</v>
      </c>
      <c r="C1065" s="24" t="s">
        <v>229</v>
      </c>
      <c r="D1065" s="24" t="s">
        <v>947</v>
      </c>
      <c r="E1065" s="235"/>
      <c r="F1065" s="4">
        <f>F1066</f>
        <v>72</v>
      </c>
      <c r="G1065" s="4">
        <f t="shared" si="526"/>
        <v>30</v>
      </c>
      <c r="H1065" s="4">
        <f t="shared" si="509"/>
        <v>41.666666666666671</v>
      </c>
    </row>
    <row r="1066" spans="1:8" s="217" customFormat="1" ht="47.25" x14ac:dyDescent="0.25">
      <c r="A1066" s="99" t="s">
        <v>1157</v>
      </c>
      <c r="B1066" s="20" t="s">
        <v>254</v>
      </c>
      <c r="C1066" s="20" t="s">
        <v>229</v>
      </c>
      <c r="D1066" s="20" t="s">
        <v>948</v>
      </c>
      <c r="E1066" s="32"/>
      <c r="F1066" s="6">
        <f>F1067</f>
        <v>72</v>
      </c>
      <c r="G1066" s="6">
        <f t="shared" si="526"/>
        <v>30</v>
      </c>
      <c r="H1066" s="6">
        <f t="shared" si="509"/>
        <v>41.666666666666671</v>
      </c>
    </row>
    <row r="1067" spans="1:8" s="217" customFormat="1" ht="31.5" x14ac:dyDescent="0.25">
      <c r="A1067" s="25" t="s">
        <v>147</v>
      </c>
      <c r="B1067" s="20" t="s">
        <v>254</v>
      </c>
      <c r="C1067" s="20" t="s">
        <v>229</v>
      </c>
      <c r="D1067" s="20" t="s">
        <v>948</v>
      </c>
      <c r="E1067" s="32" t="s">
        <v>148</v>
      </c>
      <c r="F1067" s="6">
        <f>F1068</f>
        <v>72</v>
      </c>
      <c r="G1067" s="6">
        <f t="shared" si="526"/>
        <v>30</v>
      </c>
      <c r="H1067" s="6">
        <f t="shared" si="509"/>
        <v>41.666666666666671</v>
      </c>
    </row>
    <row r="1068" spans="1:8" s="217" customFormat="1" ht="31.5" x14ac:dyDescent="0.25">
      <c r="A1068" s="25" t="s">
        <v>149</v>
      </c>
      <c r="B1068" s="20" t="s">
        <v>254</v>
      </c>
      <c r="C1068" s="20" t="s">
        <v>229</v>
      </c>
      <c r="D1068" s="20" t="s">
        <v>948</v>
      </c>
      <c r="E1068" s="32" t="s">
        <v>150</v>
      </c>
      <c r="F1068" s="6">
        <f>'Пр.4 ведом.20'!G491</f>
        <v>72</v>
      </c>
      <c r="G1068" s="6">
        <f>'Пр.4 ведом.20'!H491</f>
        <v>30</v>
      </c>
      <c r="H1068" s="6">
        <f t="shared" si="509"/>
        <v>41.666666666666671</v>
      </c>
    </row>
    <row r="1069" spans="1:8" ht="15.75" x14ac:dyDescent="0.25">
      <c r="A1069" s="61" t="s">
        <v>603</v>
      </c>
      <c r="B1069" s="7"/>
      <c r="C1069" s="7"/>
      <c r="D1069" s="7"/>
      <c r="E1069" s="7"/>
      <c r="F1069" s="312">
        <f>F10+F229+F248+F330+F503+F799+F963+F1050+F905</f>
        <v>764350.74239999999</v>
      </c>
      <c r="G1069" s="312">
        <f>G10+G229+G248+G330+G503+G799+G963+G1050+G905</f>
        <v>354191.00000000006</v>
      </c>
      <c r="H1069" s="4">
        <f t="shared" si="509"/>
        <v>46.338804995186997</v>
      </c>
    </row>
    <row r="1070" spans="1:8" hidden="1" x14ac:dyDescent="0.25">
      <c r="F1070" s="22">
        <f>'Пр.4 ведом.20'!G1162</f>
        <v>764350.74239999987</v>
      </c>
      <c r="G1070" s="22">
        <f>'Пр.4 ведом.20'!H1162</f>
        <v>354191</v>
      </c>
      <c r="H1070" s="22">
        <f>'Пр.4 ведом.20'!I1162</f>
        <v>46.338804995186997</v>
      </c>
    </row>
    <row r="1071" spans="1:8" hidden="1" x14ac:dyDescent="0.25">
      <c r="F1071" s="22">
        <f>F1070-F1069</f>
        <v>0</v>
      </c>
      <c r="G1071" s="22">
        <f t="shared" ref="G1071:H1071" si="527">G1070-G1069</f>
        <v>0</v>
      </c>
      <c r="H1071" s="22">
        <f t="shared" si="527"/>
        <v>0</v>
      </c>
    </row>
    <row r="1074" spans="7:7" x14ac:dyDescent="0.25">
      <c r="G1074" s="22">
        <f>G1069-'Пр.4 ведом.20'!H1162</f>
        <v>0</v>
      </c>
    </row>
  </sheetData>
  <mergeCells count="1">
    <mergeCell ref="A7:H7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rowBreaks count="3" manualBreakCount="3">
    <brk id="123" max="7" man="1"/>
    <brk id="158" max="7" man="1"/>
    <brk id="104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9"/>
  <sheetViews>
    <sheetView workbookViewId="0">
      <selection activeCell="G2" sqref="G2"/>
    </sheetView>
  </sheetViews>
  <sheetFormatPr defaultRowHeight="15" x14ac:dyDescent="0.25"/>
  <cols>
    <col min="1" max="1" width="44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2.42578125" style="22" customWidth="1"/>
    <col min="7" max="7" width="13.140625" style="22" customWidth="1"/>
    <col min="8" max="9" width="9.5703125" hidden="1" customWidth="1"/>
    <col min="10" max="11" width="0" hidden="1" customWidth="1"/>
  </cols>
  <sheetData>
    <row r="1" spans="1:11" ht="15.75" x14ac:dyDescent="0.25">
      <c r="A1" s="56"/>
      <c r="B1" s="56"/>
      <c r="C1" s="56"/>
      <c r="D1" s="218"/>
      <c r="E1" s="218"/>
      <c r="F1" s="116"/>
      <c r="G1" s="305" t="s">
        <v>1276</v>
      </c>
    </row>
    <row r="2" spans="1:11" ht="15.75" x14ac:dyDescent="0.25">
      <c r="A2" s="56"/>
      <c r="B2" s="56"/>
      <c r="C2" s="56"/>
      <c r="D2" s="218"/>
      <c r="E2" s="218"/>
      <c r="F2" s="116"/>
      <c r="G2" s="305" t="s">
        <v>1</v>
      </c>
    </row>
    <row r="3" spans="1:11" ht="18.75" x14ac:dyDescent="0.3">
      <c r="A3" s="56"/>
      <c r="B3" s="56"/>
      <c r="C3" s="56"/>
      <c r="D3" s="218"/>
      <c r="E3" s="197"/>
      <c r="F3" s="116"/>
      <c r="G3" s="305" t="s">
        <v>1540</v>
      </c>
    </row>
    <row r="4" spans="1:11" x14ac:dyDescent="0.25">
      <c r="A4" s="56"/>
      <c r="B4" s="56"/>
      <c r="C4" s="56"/>
      <c r="D4" s="56"/>
      <c r="E4" s="56"/>
      <c r="F4" s="116"/>
      <c r="G4" s="116"/>
    </row>
    <row r="5" spans="1:11" ht="74.25" customHeight="1" x14ac:dyDescent="0.25">
      <c r="A5" s="392" t="s">
        <v>1352</v>
      </c>
      <c r="B5" s="392"/>
      <c r="C5" s="392"/>
      <c r="D5" s="392"/>
      <c r="E5" s="392"/>
      <c r="F5" s="392"/>
      <c r="G5" s="392"/>
    </row>
    <row r="6" spans="1:11" x14ac:dyDescent="0.25">
      <c r="A6" s="56"/>
      <c r="B6" s="56"/>
      <c r="C6" s="56"/>
      <c r="D6" s="56"/>
      <c r="E6" s="56"/>
      <c r="F6" s="116"/>
      <c r="G6" s="306" t="s">
        <v>2</v>
      </c>
    </row>
    <row r="7" spans="1:11" ht="35.450000000000003" customHeight="1" x14ac:dyDescent="0.25">
      <c r="A7" s="240" t="s">
        <v>609</v>
      </c>
      <c r="B7" s="241" t="s">
        <v>128</v>
      </c>
      <c r="C7" s="241" t="s">
        <v>129</v>
      </c>
      <c r="D7" s="241" t="s">
        <v>130</v>
      </c>
      <c r="E7" s="241" t="s">
        <v>131</v>
      </c>
      <c r="F7" s="307" t="s">
        <v>1278</v>
      </c>
      <c r="G7" s="307" t="s">
        <v>1279</v>
      </c>
    </row>
    <row r="8" spans="1:11" ht="15.75" x14ac:dyDescent="0.25">
      <c r="A8" s="41" t="s">
        <v>133</v>
      </c>
      <c r="B8" s="7" t="s">
        <v>134</v>
      </c>
      <c r="C8" s="7"/>
      <c r="D8" s="7"/>
      <c r="E8" s="7"/>
      <c r="F8" s="4">
        <f>F9+F28+F39+F97+F127+F119</f>
        <v>142238.12</v>
      </c>
      <c r="G8" s="4">
        <f>G9+G28+G39+G97+G127+G119</f>
        <v>147123.02000000002</v>
      </c>
      <c r="H8" s="238">
        <v>139576.82</v>
      </c>
      <c r="I8" s="238">
        <v>147498.12</v>
      </c>
      <c r="J8" s="238">
        <f>H8-F8</f>
        <v>-2661.2999999999884</v>
      </c>
      <c r="K8" s="238">
        <f>I8-G8</f>
        <v>375.09999999997672</v>
      </c>
    </row>
    <row r="9" spans="1:11" ht="63" x14ac:dyDescent="0.25">
      <c r="A9" s="41" t="s">
        <v>591</v>
      </c>
      <c r="B9" s="7" t="s">
        <v>134</v>
      </c>
      <c r="C9" s="7" t="s">
        <v>229</v>
      </c>
      <c r="D9" s="7"/>
      <c r="E9" s="7"/>
      <c r="F9" s="4">
        <f>F10+F20</f>
        <v>4268.5</v>
      </c>
      <c r="G9" s="4">
        <f>G10+G20</f>
        <v>4268.5</v>
      </c>
    </row>
    <row r="10" spans="1:11" ht="31.5" x14ac:dyDescent="0.25">
      <c r="A10" s="23" t="s">
        <v>990</v>
      </c>
      <c r="B10" s="7" t="s">
        <v>134</v>
      </c>
      <c r="C10" s="7" t="s">
        <v>229</v>
      </c>
      <c r="D10" s="7" t="s">
        <v>904</v>
      </c>
      <c r="E10" s="7"/>
      <c r="F10" s="4">
        <f t="shared" ref="F10:G10" si="0">F11</f>
        <v>4243</v>
      </c>
      <c r="G10" s="4">
        <f t="shared" si="0"/>
        <v>4243</v>
      </c>
    </row>
    <row r="11" spans="1:11" ht="31.5" x14ac:dyDescent="0.25">
      <c r="A11" s="23" t="s">
        <v>1134</v>
      </c>
      <c r="B11" s="7" t="s">
        <v>134</v>
      </c>
      <c r="C11" s="7" t="s">
        <v>229</v>
      </c>
      <c r="D11" s="7" t="s">
        <v>1135</v>
      </c>
      <c r="E11" s="7"/>
      <c r="F11" s="4">
        <f>F12+F17</f>
        <v>4243</v>
      </c>
      <c r="G11" s="4">
        <f>G12+G17</f>
        <v>4243</v>
      </c>
    </row>
    <row r="12" spans="1:11" ht="47.25" x14ac:dyDescent="0.25">
      <c r="A12" s="29" t="s">
        <v>592</v>
      </c>
      <c r="B12" s="40" t="s">
        <v>134</v>
      </c>
      <c r="C12" s="40" t="s">
        <v>229</v>
      </c>
      <c r="D12" s="40" t="s">
        <v>1136</v>
      </c>
      <c r="E12" s="40"/>
      <c r="F12" s="6">
        <f>F13+F15</f>
        <v>4201</v>
      </c>
      <c r="G12" s="6">
        <f>G13+G15</f>
        <v>4201</v>
      </c>
    </row>
    <row r="13" spans="1:11" ht="94.5" x14ac:dyDescent="0.25">
      <c r="A13" s="29" t="s">
        <v>143</v>
      </c>
      <c r="B13" s="40" t="s">
        <v>134</v>
      </c>
      <c r="C13" s="40" t="s">
        <v>229</v>
      </c>
      <c r="D13" s="40" t="s">
        <v>1136</v>
      </c>
      <c r="E13" s="40" t="s">
        <v>144</v>
      </c>
      <c r="F13" s="6">
        <f>F14</f>
        <v>4111</v>
      </c>
      <c r="G13" s="6">
        <f>G14</f>
        <v>4111</v>
      </c>
    </row>
    <row r="14" spans="1:11" ht="47.25" x14ac:dyDescent="0.25">
      <c r="A14" s="29" t="s">
        <v>145</v>
      </c>
      <c r="B14" s="40" t="s">
        <v>134</v>
      </c>
      <c r="C14" s="40" t="s">
        <v>229</v>
      </c>
      <c r="D14" s="40" t="s">
        <v>1136</v>
      </c>
      <c r="E14" s="40" t="s">
        <v>146</v>
      </c>
      <c r="F14" s="6">
        <f>'пр.5.1.ведом.21-22'!G1069</f>
        <v>4111</v>
      </c>
      <c r="G14" s="6">
        <f>'пр.5.1.ведом.21-22'!H1069</f>
        <v>4111</v>
      </c>
    </row>
    <row r="15" spans="1:11" ht="31.5" x14ac:dyDescent="0.25">
      <c r="A15" s="29" t="s">
        <v>147</v>
      </c>
      <c r="B15" s="40" t="s">
        <v>134</v>
      </c>
      <c r="C15" s="40" t="s">
        <v>229</v>
      </c>
      <c r="D15" s="40" t="s">
        <v>1136</v>
      </c>
      <c r="E15" s="40" t="s">
        <v>148</v>
      </c>
      <c r="F15" s="6">
        <f>F16</f>
        <v>90</v>
      </c>
      <c r="G15" s="6">
        <f>G16</f>
        <v>90</v>
      </c>
    </row>
    <row r="16" spans="1:11" ht="47.25" x14ac:dyDescent="0.25">
      <c r="A16" s="29" t="s">
        <v>149</v>
      </c>
      <c r="B16" s="40" t="s">
        <v>134</v>
      </c>
      <c r="C16" s="40" t="s">
        <v>229</v>
      </c>
      <c r="D16" s="40" t="s">
        <v>1136</v>
      </c>
      <c r="E16" s="40" t="s">
        <v>150</v>
      </c>
      <c r="F16" s="6">
        <f>'пр.5.1.ведом.21-22'!G1071</f>
        <v>90</v>
      </c>
      <c r="G16" s="6">
        <f>'пр.5.1.ведом.21-22'!H1071</f>
        <v>90</v>
      </c>
    </row>
    <row r="17" spans="1:7" ht="47.25" x14ac:dyDescent="0.25">
      <c r="A17" s="25" t="s">
        <v>885</v>
      </c>
      <c r="B17" s="40" t="s">
        <v>134</v>
      </c>
      <c r="C17" s="40" t="s">
        <v>229</v>
      </c>
      <c r="D17" s="40" t="s">
        <v>1137</v>
      </c>
      <c r="E17" s="40"/>
      <c r="F17" s="6">
        <f>F18</f>
        <v>42</v>
      </c>
      <c r="G17" s="6">
        <f t="shared" ref="G17:G66" si="1">F17</f>
        <v>42</v>
      </c>
    </row>
    <row r="18" spans="1:7" ht="94.5" x14ac:dyDescent="0.25">
      <c r="A18" s="25" t="s">
        <v>143</v>
      </c>
      <c r="B18" s="40" t="s">
        <v>134</v>
      </c>
      <c r="C18" s="40" t="s">
        <v>229</v>
      </c>
      <c r="D18" s="40" t="s">
        <v>1137</v>
      </c>
      <c r="E18" s="40" t="s">
        <v>144</v>
      </c>
      <c r="F18" s="6">
        <f>F19</f>
        <v>42</v>
      </c>
      <c r="G18" s="6">
        <f>G19</f>
        <v>42</v>
      </c>
    </row>
    <row r="19" spans="1:7" ht="47.25" x14ac:dyDescent="0.25">
      <c r="A19" s="25" t="s">
        <v>145</v>
      </c>
      <c r="B19" s="40" t="s">
        <v>134</v>
      </c>
      <c r="C19" s="40" t="s">
        <v>229</v>
      </c>
      <c r="D19" s="40" t="s">
        <v>1137</v>
      </c>
      <c r="E19" s="40" t="s">
        <v>146</v>
      </c>
      <c r="F19" s="6">
        <f>'пр.5.1.ведом.21-22'!G1074</f>
        <v>42</v>
      </c>
      <c r="G19" s="6">
        <f>'пр.5.1.ведом.21-22'!H1074</f>
        <v>42</v>
      </c>
    </row>
    <row r="20" spans="1:7" ht="63" x14ac:dyDescent="0.25">
      <c r="A20" s="23" t="s">
        <v>1422</v>
      </c>
      <c r="B20" s="24" t="s">
        <v>134</v>
      </c>
      <c r="C20" s="7" t="s">
        <v>229</v>
      </c>
      <c r="D20" s="24" t="s">
        <v>178</v>
      </c>
      <c r="E20" s="7"/>
      <c r="F20" s="309">
        <f>F21</f>
        <v>25.5</v>
      </c>
      <c r="G20" s="309">
        <f>G21</f>
        <v>25.5</v>
      </c>
    </row>
    <row r="21" spans="1:7" ht="78.75" x14ac:dyDescent="0.25">
      <c r="A21" s="232" t="s">
        <v>889</v>
      </c>
      <c r="B21" s="24" t="s">
        <v>134</v>
      </c>
      <c r="C21" s="7" t="s">
        <v>229</v>
      </c>
      <c r="D21" s="7" t="s">
        <v>896</v>
      </c>
      <c r="E21" s="7"/>
      <c r="F21" s="309">
        <f>F22+F25</f>
        <v>25.5</v>
      </c>
      <c r="G21" s="309">
        <f>G22+G25</f>
        <v>25.5</v>
      </c>
    </row>
    <row r="22" spans="1:7" ht="63" x14ac:dyDescent="0.25">
      <c r="A22" s="31" t="s">
        <v>712</v>
      </c>
      <c r="B22" s="20" t="s">
        <v>134</v>
      </c>
      <c r="C22" s="20" t="s">
        <v>229</v>
      </c>
      <c r="D22" s="40" t="s">
        <v>1142</v>
      </c>
      <c r="E22" s="20"/>
      <c r="F22" s="6">
        <f>F23</f>
        <v>0.5</v>
      </c>
      <c r="G22" s="6">
        <f>G23</f>
        <v>0.5</v>
      </c>
    </row>
    <row r="23" spans="1:7" ht="31.5" x14ac:dyDescent="0.25">
      <c r="A23" s="25" t="s">
        <v>147</v>
      </c>
      <c r="B23" s="20" t="s">
        <v>134</v>
      </c>
      <c r="C23" s="20" t="s">
        <v>229</v>
      </c>
      <c r="D23" s="40" t="s">
        <v>1142</v>
      </c>
      <c r="E23" s="20" t="s">
        <v>148</v>
      </c>
      <c r="F23" s="6">
        <f>F24</f>
        <v>0.5</v>
      </c>
      <c r="G23" s="6">
        <f>G24</f>
        <v>0.5</v>
      </c>
    </row>
    <row r="24" spans="1:7" ht="47.25" x14ac:dyDescent="0.25">
      <c r="A24" s="25" t="s">
        <v>149</v>
      </c>
      <c r="B24" s="20" t="s">
        <v>134</v>
      </c>
      <c r="C24" s="20" t="s">
        <v>229</v>
      </c>
      <c r="D24" s="40" t="s">
        <v>713</v>
      </c>
      <c r="E24" s="20" t="s">
        <v>150</v>
      </c>
      <c r="F24" s="6">
        <f>'пр.5.1.ведом.21-22'!G1079</f>
        <v>0.5</v>
      </c>
      <c r="G24" s="6">
        <f>'пр.5.1.ведом.21-22'!H1079</f>
        <v>0.5</v>
      </c>
    </row>
    <row r="25" spans="1:7" ht="63" x14ac:dyDescent="0.25">
      <c r="A25" s="31" t="s">
        <v>712</v>
      </c>
      <c r="B25" s="20" t="s">
        <v>134</v>
      </c>
      <c r="C25" s="20" t="s">
        <v>229</v>
      </c>
      <c r="D25" s="20" t="s">
        <v>1141</v>
      </c>
      <c r="E25" s="20"/>
      <c r="F25" s="6">
        <f>F26</f>
        <v>25</v>
      </c>
      <c r="G25" s="6">
        <f t="shared" si="1"/>
        <v>25</v>
      </c>
    </row>
    <row r="26" spans="1:7" ht="31.5" x14ac:dyDescent="0.25">
      <c r="A26" s="25" t="s">
        <v>147</v>
      </c>
      <c r="B26" s="20" t="s">
        <v>134</v>
      </c>
      <c r="C26" s="20" t="s">
        <v>229</v>
      </c>
      <c r="D26" s="20" t="s">
        <v>1141</v>
      </c>
      <c r="E26" s="20" t="s">
        <v>148</v>
      </c>
      <c r="F26" s="6">
        <f>F27</f>
        <v>25</v>
      </c>
      <c r="G26" s="6">
        <f t="shared" si="1"/>
        <v>25</v>
      </c>
    </row>
    <row r="27" spans="1:7" ht="47.25" x14ac:dyDescent="0.25">
      <c r="A27" s="25" t="s">
        <v>149</v>
      </c>
      <c r="B27" s="20" t="s">
        <v>134</v>
      </c>
      <c r="C27" s="20" t="s">
        <v>229</v>
      </c>
      <c r="D27" s="20" t="s">
        <v>1141</v>
      </c>
      <c r="E27" s="20" t="s">
        <v>150</v>
      </c>
      <c r="F27" s="6">
        <f>'пр.5.1.ведом.21-22'!G1082</f>
        <v>25</v>
      </c>
      <c r="G27" s="6">
        <f>'пр.5.1.ведом.21-22'!H1082</f>
        <v>25</v>
      </c>
    </row>
    <row r="28" spans="1:7" ht="78.75" x14ac:dyDescent="0.25">
      <c r="A28" s="41" t="s">
        <v>594</v>
      </c>
      <c r="B28" s="7" t="s">
        <v>134</v>
      </c>
      <c r="C28" s="7" t="s">
        <v>231</v>
      </c>
      <c r="D28" s="7"/>
      <c r="E28" s="7"/>
      <c r="F28" s="4">
        <f t="shared" ref="F28:G29" si="2">F29</f>
        <v>1091</v>
      </c>
      <c r="G28" s="4">
        <f t="shared" si="2"/>
        <v>1091</v>
      </c>
    </row>
    <row r="29" spans="1:7" ht="31.5" x14ac:dyDescent="0.25">
      <c r="A29" s="23" t="s">
        <v>990</v>
      </c>
      <c r="B29" s="7" t="s">
        <v>134</v>
      </c>
      <c r="C29" s="7" t="s">
        <v>231</v>
      </c>
      <c r="D29" s="7" t="s">
        <v>904</v>
      </c>
      <c r="E29" s="7"/>
      <c r="F29" s="4">
        <f t="shared" si="2"/>
        <v>1091</v>
      </c>
      <c r="G29" s="4">
        <f t="shared" si="2"/>
        <v>1091</v>
      </c>
    </row>
    <row r="30" spans="1:7" ht="31.5" x14ac:dyDescent="0.25">
      <c r="A30" s="23" t="s">
        <v>1134</v>
      </c>
      <c r="B30" s="7" t="s">
        <v>134</v>
      </c>
      <c r="C30" s="7" t="s">
        <v>231</v>
      </c>
      <c r="D30" s="7" t="s">
        <v>1135</v>
      </c>
      <c r="E30" s="7"/>
      <c r="F30" s="4">
        <f>F31+F36</f>
        <v>1091</v>
      </c>
      <c r="G30" s="4">
        <f>G31+G36</f>
        <v>1091</v>
      </c>
    </row>
    <row r="31" spans="1:7" ht="31.5" x14ac:dyDescent="0.25">
      <c r="A31" s="25" t="s">
        <v>1138</v>
      </c>
      <c r="B31" s="40" t="s">
        <v>134</v>
      </c>
      <c r="C31" s="40" t="s">
        <v>231</v>
      </c>
      <c r="D31" s="40" t="s">
        <v>1139</v>
      </c>
      <c r="E31" s="40"/>
      <c r="F31" s="6">
        <f>F32+F34</f>
        <v>1091</v>
      </c>
      <c r="G31" s="6">
        <f>G32+G34</f>
        <v>1091</v>
      </c>
    </row>
    <row r="32" spans="1:7" ht="94.5" x14ac:dyDescent="0.25">
      <c r="A32" s="29" t="s">
        <v>143</v>
      </c>
      <c r="B32" s="40" t="s">
        <v>134</v>
      </c>
      <c r="C32" s="40" t="s">
        <v>231</v>
      </c>
      <c r="D32" s="40" t="s">
        <v>1139</v>
      </c>
      <c r="E32" s="40" t="s">
        <v>144</v>
      </c>
      <c r="F32" s="6">
        <f>F33</f>
        <v>998</v>
      </c>
      <c r="G32" s="6">
        <f>G33</f>
        <v>998</v>
      </c>
    </row>
    <row r="33" spans="1:7" ht="35.450000000000003" customHeight="1" x14ac:dyDescent="0.25">
      <c r="A33" s="29" t="s">
        <v>145</v>
      </c>
      <c r="B33" s="40" t="s">
        <v>134</v>
      </c>
      <c r="C33" s="40" t="s">
        <v>231</v>
      </c>
      <c r="D33" s="40" t="s">
        <v>1139</v>
      </c>
      <c r="E33" s="40" t="s">
        <v>146</v>
      </c>
      <c r="F33" s="6">
        <f>'пр.5.1.ведом.21-22'!G1088</f>
        <v>998</v>
      </c>
      <c r="G33" s="6">
        <f>'пр.5.1.ведом.21-22'!H1088</f>
        <v>998</v>
      </c>
    </row>
    <row r="34" spans="1:7" ht="31.5" x14ac:dyDescent="0.25">
      <c r="A34" s="29" t="s">
        <v>147</v>
      </c>
      <c r="B34" s="40" t="s">
        <v>134</v>
      </c>
      <c r="C34" s="40" t="s">
        <v>231</v>
      </c>
      <c r="D34" s="40" t="s">
        <v>1139</v>
      </c>
      <c r="E34" s="40" t="s">
        <v>148</v>
      </c>
      <c r="F34" s="6">
        <f>F35</f>
        <v>93</v>
      </c>
      <c r="G34" s="6">
        <f>G35</f>
        <v>93</v>
      </c>
    </row>
    <row r="35" spans="1:7" ht="47.25" x14ac:dyDescent="0.25">
      <c r="A35" s="29" t="s">
        <v>149</v>
      </c>
      <c r="B35" s="40" t="s">
        <v>134</v>
      </c>
      <c r="C35" s="40" t="s">
        <v>231</v>
      </c>
      <c r="D35" s="40" t="s">
        <v>1139</v>
      </c>
      <c r="E35" s="40" t="s">
        <v>150</v>
      </c>
      <c r="F35" s="6">
        <f>'пр.5.1.ведом.21-22'!G1090</f>
        <v>93</v>
      </c>
      <c r="G35" s="6">
        <f>'пр.5.1.ведом.21-22'!H1090</f>
        <v>93</v>
      </c>
    </row>
    <row r="36" spans="1:7" ht="47.25" hidden="1" x14ac:dyDescent="0.25">
      <c r="A36" s="25" t="s">
        <v>885</v>
      </c>
      <c r="B36" s="40" t="s">
        <v>134</v>
      </c>
      <c r="C36" s="40" t="s">
        <v>231</v>
      </c>
      <c r="D36" s="40" t="s">
        <v>1137</v>
      </c>
      <c r="E36" s="40"/>
      <c r="F36" s="6">
        <f>'Пр.3 Рд,пр, ЦС,ВР 20'!F38</f>
        <v>0</v>
      </c>
      <c r="G36" s="6">
        <f t="shared" si="1"/>
        <v>0</v>
      </c>
    </row>
    <row r="37" spans="1:7" ht="94.5" hidden="1" x14ac:dyDescent="0.25">
      <c r="A37" s="25" t="s">
        <v>143</v>
      </c>
      <c r="B37" s="40" t="s">
        <v>134</v>
      </c>
      <c r="C37" s="40" t="s">
        <v>231</v>
      </c>
      <c r="D37" s="40" t="s">
        <v>1137</v>
      </c>
      <c r="E37" s="40" t="s">
        <v>144</v>
      </c>
      <c r="F37" s="6">
        <f>'Пр.3 Рд,пр, ЦС,ВР 20'!F39</f>
        <v>0</v>
      </c>
      <c r="G37" s="6">
        <f t="shared" si="1"/>
        <v>0</v>
      </c>
    </row>
    <row r="38" spans="1:7" ht="39.75" hidden="1" customHeight="1" x14ac:dyDescent="0.25">
      <c r="A38" s="25" t="s">
        <v>145</v>
      </c>
      <c r="B38" s="40" t="s">
        <v>134</v>
      </c>
      <c r="C38" s="40" t="s">
        <v>231</v>
      </c>
      <c r="D38" s="40" t="s">
        <v>1137</v>
      </c>
      <c r="E38" s="40" t="s">
        <v>146</v>
      </c>
      <c r="F38" s="6">
        <f>'Пр.3 Рд,пр, ЦС,ВР 20'!F40</f>
        <v>0</v>
      </c>
      <c r="G38" s="6">
        <f t="shared" si="1"/>
        <v>0</v>
      </c>
    </row>
    <row r="39" spans="1:7" ht="94.5" x14ac:dyDescent="0.25">
      <c r="A39" s="41" t="s">
        <v>165</v>
      </c>
      <c r="B39" s="7" t="s">
        <v>134</v>
      </c>
      <c r="C39" s="7" t="s">
        <v>166</v>
      </c>
      <c r="D39" s="7"/>
      <c r="E39" s="7"/>
      <c r="F39" s="4">
        <f>F40+F79</f>
        <v>62536.4</v>
      </c>
      <c r="G39" s="4">
        <f>G40+G79</f>
        <v>62593.1</v>
      </c>
    </row>
    <row r="40" spans="1:7" ht="31.5" x14ac:dyDescent="0.25">
      <c r="A40" s="23" t="s">
        <v>990</v>
      </c>
      <c r="B40" s="7" t="s">
        <v>134</v>
      </c>
      <c r="C40" s="7" t="s">
        <v>166</v>
      </c>
      <c r="D40" s="7" t="s">
        <v>904</v>
      </c>
      <c r="E40" s="7"/>
      <c r="F40" s="4">
        <f>F41+F57</f>
        <v>62012.9</v>
      </c>
      <c r="G40" s="4">
        <f>G41+G57</f>
        <v>62069.599999999999</v>
      </c>
    </row>
    <row r="41" spans="1:7" ht="15.75" x14ac:dyDescent="0.25">
      <c r="A41" s="23" t="s">
        <v>991</v>
      </c>
      <c r="B41" s="7" t="s">
        <v>134</v>
      </c>
      <c r="C41" s="7" t="s">
        <v>166</v>
      </c>
      <c r="D41" s="7" t="s">
        <v>905</v>
      </c>
      <c r="E41" s="7"/>
      <c r="F41" s="4">
        <f>F42+F51+F54</f>
        <v>58868</v>
      </c>
      <c r="G41" s="4">
        <f>G42+G51+G54</f>
        <v>58858</v>
      </c>
    </row>
    <row r="42" spans="1:7" ht="31.5" x14ac:dyDescent="0.25">
      <c r="A42" s="29" t="s">
        <v>967</v>
      </c>
      <c r="B42" s="40" t="s">
        <v>134</v>
      </c>
      <c r="C42" s="40" t="s">
        <v>166</v>
      </c>
      <c r="D42" s="40" t="s">
        <v>906</v>
      </c>
      <c r="E42" s="40"/>
      <c r="F42" s="6">
        <f>F43+F45+F47+F49</f>
        <v>54016</v>
      </c>
      <c r="G42" s="6">
        <f>G43+G45+G47+G49</f>
        <v>54006</v>
      </c>
    </row>
    <row r="43" spans="1:7" ht="94.5" x14ac:dyDescent="0.25">
      <c r="A43" s="29" t="s">
        <v>143</v>
      </c>
      <c r="B43" s="40" t="s">
        <v>134</v>
      </c>
      <c r="C43" s="40" t="s">
        <v>166</v>
      </c>
      <c r="D43" s="40" t="s">
        <v>906</v>
      </c>
      <c r="E43" s="40" t="s">
        <v>144</v>
      </c>
      <c r="F43" s="6">
        <f>F44</f>
        <v>47546</v>
      </c>
      <c r="G43" s="6">
        <f>G44</f>
        <v>47546</v>
      </c>
    </row>
    <row r="44" spans="1:7" ht="40.700000000000003" customHeight="1" x14ac:dyDescent="0.25">
      <c r="A44" s="29" t="s">
        <v>145</v>
      </c>
      <c r="B44" s="40" t="s">
        <v>134</v>
      </c>
      <c r="C44" s="40" t="s">
        <v>166</v>
      </c>
      <c r="D44" s="40" t="s">
        <v>906</v>
      </c>
      <c r="E44" s="40" t="s">
        <v>146</v>
      </c>
      <c r="F44" s="6">
        <f>'пр.5.1.ведом.21-22'!G499+'пр.5.1.ведом.21-22'!G37</f>
        <v>47546</v>
      </c>
      <c r="G44" s="6">
        <f>'пр.5.1.ведом.21-22'!H499+'пр.5.1.ведом.21-22'!H37</f>
        <v>47546</v>
      </c>
    </row>
    <row r="45" spans="1:7" ht="31.5" x14ac:dyDescent="0.25">
      <c r="A45" s="29" t="s">
        <v>147</v>
      </c>
      <c r="B45" s="40" t="s">
        <v>134</v>
      </c>
      <c r="C45" s="40" t="s">
        <v>166</v>
      </c>
      <c r="D45" s="40" t="s">
        <v>906</v>
      </c>
      <c r="E45" s="40" t="s">
        <v>148</v>
      </c>
      <c r="F45" s="6">
        <f>F46</f>
        <v>5509</v>
      </c>
      <c r="G45" s="6">
        <f>G46</f>
        <v>5499</v>
      </c>
    </row>
    <row r="46" spans="1:7" ht="47.25" x14ac:dyDescent="0.25">
      <c r="A46" s="29" t="s">
        <v>149</v>
      </c>
      <c r="B46" s="40" t="s">
        <v>134</v>
      </c>
      <c r="C46" s="40" t="s">
        <v>166</v>
      </c>
      <c r="D46" s="40" t="s">
        <v>906</v>
      </c>
      <c r="E46" s="40" t="s">
        <v>150</v>
      </c>
      <c r="F46" s="6">
        <f>'пр.5.1.ведом.21-22'!G39+'пр.5.1.ведом.21-22'!G501</f>
        <v>5509</v>
      </c>
      <c r="G46" s="6">
        <f>'пр.5.1.ведом.21-22'!H39+'пр.5.1.ведом.21-22'!H501</f>
        <v>5499</v>
      </c>
    </row>
    <row r="47" spans="1:7" ht="31.5" x14ac:dyDescent="0.25">
      <c r="A47" s="25" t="s">
        <v>264</v>
      </c>
      <c r="B47" s="40" t="s">
        <v>134</v>
      </c>
      <c r="C47" s="40" t="s">
        <v>166</v>
      </c>
      <c r="D47" s="40" t="s">
        <v>906</v>
      </c>
      <c r="E47" s="40" t="s">
        <v>265</v>
      </c>
      <c r="F47" s="6">
        <f>F48</f>
        <v>755</v>
      </c>
      <c r="G47" s="6">
        <f>G48</f>
        <v>755</v>
      </c>
    </row>
    <row r="48" spans="1:7" ht="47.25" x14ac:dyDescent="0.25">
      <c r="A48" s="25" t="s">
        <v>266</v>
      </c>
      <c r="B48" s="40" t="s">
        <v>134</v>
      </c>
      <c r="C48" s="40" t="s">
        <v>166</v>
      </c>
      <c r="D48" s="40" t="s">
        <v>906</v>
      </c>
      <c r="E48" s="40" t="s">
        <v>267</v>
      </c>
      <c r="F48" s="6">
        <f>'пр.5.1.ведом.21-22'!G41</f>
        <v>755</v>
      </c>
      <c r="G48" s="6">
        <f>'пр.5.1.ведом.21-22'!H41</f>
        <v>755</v>
      </c>
    </row>
    <row r="49" spans="1:7" ht="15.75" x14ac:dyDescent="0.25">
      <c r="A49" s="29" t="s">
        <v>151</v>
      </c>
      <c r="B49" s="40" t="s">
        <v>134</v>
      </c>
      <c r="C49" s="40" t="s">
        <v>166</v>
      </c>
      <c r="D49" s="40" t="s">
        <v>906</v>
      </c>
      <c r="E49" s="40" t="s">
        <v>161</v>
      </c>
      <c r="F49" s="6">
        <f>F50</f>
        <v>206</v>
      </c>
      <c r="G49" s="6">
        <f>G50</f>
        <v>206</v>
      </c>
    </row>
    <row r="50" spans="1:7" ht="19.5" customHeight="1" x14ac:dyDescent="0.25">
      <c r="A50" s="29" t="s">
        <v>584</v>
      </c>
      <c r="B50" s="40" t="s">
        <v>134</v>
      </c>
      <c r="C50" s="40" t="s">
        <v>166</v>
      </c>
      <c r="D50" s="40" t="s">
        <v>906</v>
      </c>
      <c r="E50" s="40" t="s">
        <v>154</v>
      </c>
      <c r="F50" s="6">
        <f>'пр.5.1.ведом.21-22'!G43+'пр.5.1.ведом.21-22'!G503</f>
        <v>206</v>
      </c>
      <c r="G50" s="6">
        <f>'пр.5.1.ведом.21-22'!H43+'пр.5.1.ведом.21-22'!H503</f>
        <v>206</v>
      </c>
    </row>
    <row r="51" spans="1:7" ht="47.25" x14ac:dyDescent="0.25">
      <c r="A51" s="25" t="s">
        <v>169</v>
      </c>
      <c r="B51" s="20" t="s">
        <v>134</v>
      </c>
      <c r="C51" s="20" t="s">
        <v>166</v>
      </c>
      <c r="D51" s="40" t="s">
        <v>907</v>
      </c>
      <c r="E51" s="20"/>
      <c r="F51" s="6">
        <f>F52</f>
        <v>2962</v>
      </c>
      <c r="G51" s="6">
        <f>G52</f>
        <v>2962</v>
      </c>
    </row>
    <row r="52" spans="1:7" ht="94.5" x14ac:dyDescent="0.25">
      <c r="A52" s="25" t="s">
        <v>143</v>
      </c>
      <c r="B52" s="20" t="s">
        <v>134</v>
      </c>
      <c r="C52" s="20" t="s">
        <v>166</v>
      </c>
      <c r="D52" s="40" t="s">
        <v>907</v>
      </c>
      <c r="E52" s="20" t="s">
        <v>144</v>
      </c>
      <c r="F52" s="6">
        <f>F53</f>
        <v>2962</v>
      </c>
      <c r="G52" s="6">
        <f>G53</f>
        <v>2962</v>
      </c>
    </row>
    <row r="53" spans="1:7" ht="33.75" customHeight="1" x14ac:dyDescent="0.25">
      <c r="A53" s="25" t="s">
        <v>145</v>
      </c>
      <c r="B53" s="20" t="s">
        <v>134</v>
      </c>
      <c r="C53" s="20" t="s">
        <v>166</v>
      </c>
      <c r="D53" s="40" t="s">
        <v>907</v>
      </c>
      <c r="E53" s="20" t="s">
        <v>146</v>
      </c>
      <c r="F53" s="6">
        <f>'пр.5.1.ведом.21-22'!G46</f>
        <v>2962</v>
      </c>
      <c r="G53" s="6">
        <f>'пр.5.1.ведом.21-22'!H46</f>
        <v>2962</v>
      </c>
    </row>
    <row r="54" spans="1:7" ht="47.25" x14ac:dyDescent="0.25">
      <c r="A54" s="25" t="s">
        <v>885</v>
      </c>
      <c r="B54" s="40" t="s">
        <v>134</v>
      </c>
      <c r="C54" s="20" t="s">
        <v>166</v>
      </c>
      <c r="D54" s="40" t="s">
        <v>908</v>
      </c>
      <c r="E54" s="40"/>
      <c r="F54" s="6">
        <f>F55</f>
        <v>1890</v>
      </c>
      <c r="G54" s="6">
        <f>G55</f>
        <v>1890</v>
      </c>
    </row>
    <row r="55" spans="1:7" ht="94.5" x14ac:dyDescent="0.25">
      <c r="A55" s="25" t="s">
        <v>143</v>
      </c>
      <c r="B55" s="40" t="s">
        <v>134</v>
      </c>
      <c r="C55" s="20" t="s">
        <v>166</v>
      </c>
      <c r="D55" s="40" t="s">
        <v>908</v>
      </c>
      <c r="E55" s="40" t="s">
        <v>144</v>
      </c>
      <c r="F55" s="6">
        <f>F56</f>
        <v>1890</v>
      </c>
      <c r="G55" s="6">
        <f>G56</f>
        <v>1890</v>
      </c>
    </row>
    <row r="56" spans="1:7" ht="31.7" customHeight="1" x14ac:dyDescent="0.25">
      <c r="A56" s="25" t="s">
        <v>145</v>
      </c>
      <c r="B56" s="40" t="s">
        <v>134</v>
      </c>
      <c r="C56" s="20" t="s">
        <v>166</v>
      </c>
      <c r="D56" s="40" t="s">
        <v>908</v>
      </c>
      <c r="E56" s="40" t="s">
        <v>146</v>
      </c>
      <c r="F56" s="6">
        <f>'пр.5.1.ведом.21-22'!G49+'пр.5.1.ведом.21-22'!G506</f>
        <v>1890</v>
      </c>
      <c r="G56" s="6">
        <f>'пр.5.1.ведом.21-22'!H49+'пр.5.1.ведом.21-22'!H506</f>
        <v>1890</v>
      </c>
    </row>
    <row r="57" spans="1:7" ht="47.25" x14ac:dyDescent="0.25">
      <c r="A57" s="23" t="s">
        <v>932</v>
      </c>
      <c r="B57" s="7" t="s">
        <v>134</v>
      </c>
      <c r="C57" s="24" t="s">
        <v>166</v>
      </c>
      <c r="D57" s="7" t="s">
        <v>909</v>
      </c>
      <c r="E57" s="7"/>
      <c r="F57" s="4">
        <f>F58+F61+F66+F71+F76</f>
        <v>3144.9</v>
      </c>
      <c r="G57" s="4">
        <f>G58+G61+G66+G71+G76</f>
        <v>3211.6</v>
      </c>
    </row>
    <row r="58" spans="1:7" ht="47.25" x14ac:dyDescent="0.25">
      <c r="A58" s="25" t="s">
        <v>203</v>
      </c>
      <c r="B58" s="40" t="s">
        <v>134</v>
      </c>
      <c r="C58" s="20" t="s">
        <v>166</v>
      </c>
      <c r="D58" s="40" t="s">
        <v>1258</v>
      </c>
      <c r="E58" s="7"/>
      <c r="F58" s="6">
        <f>F59</f>
        <v>6.3</v>
      </c>
      <c r="G58" s="6">
        <f>G59</f>
        <v>51</v>
      </c>
    </row>
    <row r="59" spans="1:7" ht="31.5" x14ac:dyDescent="0.25">
      <c r="A59" s="25" t="s">
        <v>147</v>
      </c>
      <c r="B59" s="40" t="s">
        <v>134</v>
      </c>
      <c r="C59" s="20" t="s">
        <v>166</v>
      </c>
      <c r="D59" s="40" t="s">
        <v>1258</v>
      </c>
      <c r="E59" s="40" t="s">
        <v>148</v>
      </c>
      <c r="F59" s="6">
        <f>F60</f>
        <v>6.3</v>
      </c>
      <c r="G59" s="6">
        <f>G60</f>
        <v>51</v>
      </c>
    </row>
    <row r="60" spans="1:7" ht="47.25" x14ac:dyDescent="0.25">
      <c r="A60" s="25" t="s">
        <v>149</v>
      </c>
      <c r="B60" s="40" t="s">
        <v>134</v>
      </c>
      <c r="C60" s="20" t="s">
        <v>166</v>
      </c>
      <c r="D60" s="40" t="s">
        <v>1258</v>
      </c>
      <c r="E60" s="40" t="s">
        <v>150</v>
      </c>
      <c r="F60" s="6">
        <f>'пр.5.1.ведом.21-22'!G53</f>
        <v>6.3</v>
      </c>
      <c r="G60" s="6">
        <f>'пр.5.1.ведом.21-22'!H53</f>
        <v>51</v>
      </c>
    </row>
    <row r="61" spans="1:7" ht="63" x14ac:dyDescent="0.25">
      <c r="A61" s="45" t="s">
        <v>205</v>
      </c>
      <c r="B61" s="40" t="s">
        <v>134</v>
      </c>
      <c r="C61" s="20" t="s">
        <v>166</v>
      </c>
      <c r="D61" s="40" t="s">
        <v>993</v>
      </c>
      <c r="E61" s="40"/>
      <c r="F61" s="6">
        <f>F62+F64</f>
        <v>567.40000000000009</v>
      </c>
      <c r="G61" s="6">
        <f>G62+G64</f>
        <v>589.40000000000009</v>
      </c>
    </row>
    <row r="62" spans="1:7" ht="94.5" x14ac:dyDescent="0.25">
      <c r="A62" s="29" t="s">
        <v>143</v>
      </c>
      <c r="B62" s="40" t="s">
        <v>134</v>
      </c>
      <c r="C62" s="20" t="s">
        <v>166</v>
      </c>
      <c r="D62" s="40" t="s">
        <v>993</v>
      </c>
      <c r="E62" s="40" t="s">
        <v>144</v>
      </c>
      <c r="F62" s="6">
        <f>F63</f>
        <v>528.70000000000005</v>
      </c>
      <c r="G62" s="6">
        <f>G63</f>
        <v>528.70000000000005</v>
      </c>
    </row>
    <row r="63" spans="1:7" ht="47.25" x14ac:dyDescent="0.25">
      <c r="A63" s="29" t="s">
        <v>145</v>
      </c>
      <c r="B63" s="40" t="s">
        <v>134</v>
      </c>
      <c r="C63" s="20" t="s">
        <v>166</v>
      </c>
      <c r="D63" s="40" t="s">
        <v>993</v>
      </c>
      <c r="E63" s="40" t="s">
        <v>146</v>
      </c>
      <c r="F63" s="6">
        <f>'пр.5.1.ведом.21-22'!G56</f>
        <v>528.70000000000005</v>
      </c>
      <c r="G63" s="6">
        <f>'пр.5.1.ведом.21-22'!H56</f>
        <v>528.70000000000005</v>
      </c>
    </row>
    <row r="64" spans="1:7" ht="31.5" x14ac:dyDescent="0.25">
      <c r="A64" s="25" t="s">
        <v>147</v>
      </c>
      <c r="B64" s="40" t="s">
        <v>134</v>
      </c>
      <c r="C64" s="20" t="s">
        <v>166</v>
      </c>
      <c r="D64" s="40" t="s">
        <v>993</v>
      </c>
      <c r="E64" s="40" t="s">
        <v>148</v>
      </c>
      <c r="F64" s="6">
        <f>F65</f>
        <v>38.700000000000003</v>
      </c>
      <c r="G64" s="6">
        <f>G65</f>
        <v>60.7</v>
      </c>
    </row>
    <row r="65" spans="1:7" ht="47.25" x14ac:dyDescent="0.25">
      <c r="A65" s="25" t="s">
        <v>149</v>
      </c>
      <c r="B65" s="40" t="s">
        <v>134</v>
      </c>
      <c r="C65" s="20" t="s">
        <v>166</v>
      </c>
      <c r="D65" s="40" t="s">
        <v>993</v>
      </c>
      <c r="E65" s="40" t="s">
        <v>150</v>
      </c>
      <c r="F65" s="6">
        <f>'пр.5.1.ведом.21-22'!G58</f>
        <v>38.700000000000003</v>
      </c>
      <c r="G65" s="6">
        <f>'пр.5.1.ведом.21-22'!H58</f>
        <v>60.7</v>
      </c>
    </row>
    <row r="66" spans="1:7" ht="63" x14ac:dyDescent="0.25">
      <c r="A66" s="31" t="s">
        <v>210</v>
      </c>
      <c r="B66" s="40" t="s">
        <v>134</v>
      </c>
      <c r="C66" s="20" t="s">
        <v>166</v>
      </c>
      <c r="D66" s="40" t="s">
        <v>1195</v>
      </c>
      <c r="E66" s="40"/>
      <c r="F66" s="6">
        <f>'Пр.3 Рд,пр, ЦС,ВР 20'!F73</f>
        <v>1433.3</v>
      </c>
      <c r="G66" s="6">
        <f t="shared" si="1"/>
        <v>1433.3</v>
      </c>
    </row>
    <row r="67" spans="1:7" ht="94.5" x14ac:dyDescent="0.25">
      <c r="A67" s="29" t="s">
        <v>143</v>
      </c>
      <c r="B67" s="40" t="s">
        <v>134</v>
      </c>
      <c r="C67" s="20" t="s">
        <v>166</v>
      </c>
      <c r="D67" s="40" t="s">
        <v>1195</v>
      </c>
      <c r="E67" s="40" t="s">
        <v>144</v>
      </c>
      <c r="F67" s="6">
        <f>F68</f>
        <v>1372.1</v>
      </c>
      <c r="G67" s="6">
        <f>G68</f>
        <v>1372.1</v>
      </c>
    </row>
    <row r="68" spans="1:7" ht="33" customHeight="1" x14ac:dyDescent="0.25">
      <c r="A68" s="29" t="s">
        <v>145</v>
      </c>
      <c r="B68" s="40" t="s">
        <v>134</v>
      </c>
      <c r="C68" s="20" t="s">
        <v>166</v>
      </c>
      <c r="D68" s="40" t="s">
        <v>1195</v>
      </c>
      <c r="E68" s="40" t="s">
        <v>146</v>
      </c>
      <c r="F68" s="6">
        <f>'пр.5.1.ведом.21-22'!G61</f>
        <v>1372.1</v>
      </c>
      <c r="G68" s="6">
        <f>'пр.5.1.ведом.21-22'!H61</f>
        <v>1372.1</v>
      </c>
    </row>
    <row r="69" spans="1:7" ht="31.5" x14ac:dyDescent="0.25">
      <c r="A69" s="25" t="s">
        <v>147</v>
      </c>
      <c r="B69" s="40" t="s">
        <v>134</v>
      </c>
      <c r="C69" s="20" t="s">
        <v>166</v>
      </c>
      <c r="D69" s="40" t="s">
        <v>1195</v>
      </c>
      <c r="E69" s="40" t="s">
        <v>148</v>
      </c>
      <c r="F69" s="6">
        <f>F70</f>
        <v>61.2</v>
      </c>
      <c r="G69" s="6">
        <f>G70</f>
        <v>61.2</v>
      </c>
    </row>
    <row r="70" spans="1:7" ht="47.25" x14ac:dyDescent="0.25">
      <c r="A70" s="25" t="s">
        <v>149</v>
      </c>
      <c r="B70" s="40" t="s">
        <v>134</v>
      </c>
      <c r="C70" s="20" t="s">
        <v>166</v>
      </c>
      <c r="D70" s="40" t="s">
        <v>1195</v>
      </c>
      <c r="E70" s="40" t="s">
        <v>150</v>
      </c>
      <c r="F70" s="6">
        <f>'пр.5.1.ведом.21-22'!G63</f>
        <v>61.2</v>
      </c>
      <c r="G70" s="6">
        <f>'пр.5.1.ведом.21-22'!H63</f>
        <v>61.2</v>
      </c>
    </row>
    <row r="71" spans="1:7" ht="63" x14ac:dyDescent="0.25">
      <c r="A71" s="45" t="s">
        <v>212</v>
      </c>
      <c r="B71" s="40" t="s">
        <v>134</v>
      </c>
      <c r="C71" s="20" t="s">
        <v>166</v>
      </c>
      <c r="D71" s="40" t="s">
        <v>994</v>
      </c>
      <c r="E71" s="40"/>
      <c r="F71" s="6">
        <f>F72+F74</f>
        <v>1115.9000000000001</v>
      </c>
      <c r="G71" s="6">
        <f>G72+G74</f>
        <v>1115.9000000000001</v>
      </c>
    </row>
    <row r="72" spans="1:7" ht="94.5" x14ac:dyDescent="0.25">
      <c r="A72" s="29" t="s">
        <v>143</v>
      </c>
      <c r="B72" s="40" t="s">
        <v>134</v>
      </c>
      <c r="C72" s="20" t="s">
        <v>166</v>
      </c>
      <c r="D72" s="40" t="s">
        <v>994</v>
      </c>
      <c r="E72" s="40" t="s">
        <v>144</v>
      </c>
      <c r="F72" s="6">
        <f>F73</f>
        <v>1026.5</v>
      </c>
      <c r="G72" s="6">
        <f>G73</f>
        <v>1026.5</v>
      </c>
    </row>
    <row r="73" spans="1:7" ht="33.75" customHeight="1" x14ac:dyDescent="0.25">
      <c r="A73" s="29" t="s">
        <v>145</v>
      </c>
      <c r="B73" s="40" t="s">
        <v>134</v>
      </c>
      <c r="C73" s="20" t="s">
        <v>166</v>
      </c>
      <c r="D73" s="40" t="s">
        <v>994</v>
      </c>
      <c r="E73" s="40" t="s">
        <v>146</v>
      </c>
      <c r="F73" s="6">
        <f>'пр.5.1.ведом.21-22'!G66</f>
        <v>1026.5</v>
      </c>
      <c r="G73" s="6">
        <f>'пр.5.1.ведом.21-22'!H66</f>
        <v>1026.5</v>
      </c>
    </row>
    <row r="74" spans="1:7" ht="31.5" x14ac:dyDescent="0.25">
      <c r="A74" s="29" t="s">
        <v>147</v>
      </c>
      <c r="B74" s="40" t="s">
        <v>134</v>
      </c>
      <c r="C74" s="20" t="s">
        <v>166</v>
      </c>
      <c r="D74" s="40" t="s">
        <v>994</v>
      </c>
      <c r="E74" s="40" t="s">
        <v>148</v>
      </c>
      <c r="F74" s="6">
        <f>F75</f>
        <v>89.4</v>
      </c>
      <c r="G74" s="6">
        <f>G75</f>
        <v>89.4</v>
      </c>
    </row>
    <row r="75" spans="1:7" ht="47.25" x14ac:dyDescent="0.25">
      <c r="A75" s="29" t="s">
        <v>149</v>
      </c>
      <c r="B75" s="40" t="s">
        <v>134</v>
      </c>
      <c r="C75" s="20" t="s">
        <v>166</v>
      </c>
      <c r="D75" s="40" t="s">
        <v>994</v>
      </c>
      <c r="E75" s="40" t="s">
        <v>150</v>
      </c>
      <c r="F75" s="6">
        <f>'пр.5.1.ведом.21-22'!G68</f>
        <v>89.4</v>
      </c>
      <c r="G75" s="6">
        <f>'пр.5.1.ведом.21-22'!H68</f>
        <v>89.4</v>
      </c>
    </row>
    <row r="76" spans="1:7" s="217" customFormat="1" ht="110.25" x14ac:dyDescent="0.25">
      <c r="A76" s="31" t="s">
        <v>1409</v>
      </c>
      <c r="B76" s="20" t="s">
        <v>134</v>
      </c>
      <c r="C76" s="20" t="s">
        <v>166</v>
      </c>
      <c r="D76" s="20" t="s">
        <v>1408</v>
      </c>
      <c r="E76" s="20"/>
      <c r="F76" s="26">
        <f>F77</f>
        <v>22</v>
      </c>
      <c r="G76" s="26">
        <f>G77</f>
        <v>22</v>
      </c>
    </row>
    <row r="77" spans="1:7" s="217" customFormat="1" ht="94.5" x14ac:dyDescent="0.25">
      <c r="A77" s="25" t="s">
        <v>143</v>
      </c>
      <c r="B77" s="20" t="s">
        <v>134</v>
      </c>
      <c r="C77" s="20" t="s">
        <v>166</v>
      </c>
      <c r="D77" s="20" t="s">
        <v>1408</v>
      </c>
      <c r="E77" s="20" t="s">
        <v>144</v>
      </c>
      <c r="F77" s="26">
        <f>F78</f>
        <v>22</v>
      </c>
      <c r="G77" s="26">
        <f>G78</f>
        <v>22</v>
      </c>
    </row>
    <row r="78" spans="1:7" s="217" customFormat="1" ht="38.25" customHeight="1" x14ac:dyDescent="0.25">
      <c r="A78" s="25" t="s">
        <v>145</v>
      </c>
      <c r="B78" s="20" t="s">
        <v>134</v>
      </c>
      <c r="C78" s="20" t="s">
        <v>166</v>
      </c>
      <c r="D78" s="20" t="s">
        <v>1408</v>
      </c>
      <c r="E78" s="20" t="s">
        <v>146</v>
      </c>
      <c r="F78" s="26">
        <f>'пр.5.1.ведом.21-22'!G510</f>
        <v>22</v>
      </c>
      <c r="G78" s="6">
        <f>'пр.5.1.ведом.21-22'!H510</f>
        <v>22</v>
      </c>
    </row>
    <row r="79" spans="1:7" ht="63" x14ac:dyDescent="0.25">
      <c r="A79" s="23" t="s">
        <v>1422</v>
      </c>
      <c r="B79" s="24" t="s">
        <v>134</v>
      </c>
      <c r="C79" s="24" t="s">
        <v>166</v>
      </c>
      <c r="D79" s="24" t="s">
        <v>178</v>
      </c>
      <c r="E79" s="24"/>
      <c r="F79" s="4">
        <f>F80+F84+F90</f>
        <v>523.5</v>
      </c>
      <c r="G79" s="4">
        <f>G80+G84+G90</f>
        <v>523.5</v>
      </c>
    </row>
    <row r="80" spans="1:7" ht="78.75" x14ac:dyDescent="0.25">
      <c r="A80" s="233" t="s">
        <v>1155</v>
      </c>
      <c r="B80" s="24" t="s">
        <v>134</v>
      </c>
      <c r="C80" s="24" t="s">
        <v>166</v>
      </c>
      <c r="D80" s="7" t="s">
        <v>895</v>
      </c>
      <c r="E80" s="24"/>
      <c r="F80" s="4">
        <f t="shared" ref="F80:G82" si="3">F81</f>
        <v>446</v>
      </c>
      <c r="G80" s="4">
        <f t="shared" si="3"/>
        <v>446</v>
      </c>
    </row>
    <row r="81" spans="1:7" ht="47.25" x14ac:dyDescent="0.25">
      <c r="A81" s="29" t="s">
        <v>1154</v>
      </c>
      <c r="B81" s="20" t="s">
        <v>134</v>
      </c>
      <c r="C81" s="20" t="s">
        <v>166</v>
      </c>
      <c r="D81" s="40" t="s">
        <v>887</v>
      </c>
      <c r="E81" s="20"/>
      <c r="F81" s="6">
        <f t="shared" si="3"/>
        <v>446</v>
      </c>
      <c r="G81" s="6">
        <f t="shared" si="3"/>
        <v>446</v>
      </c>
    </row>
    <row r="82" spans="1:7" ht="31.5" x14ac:dyDescent="0.25">
      <c r="A82" s="25" t="s">
        <v>147</v>
      </c>
      <c r="B82" s="20" t="s">
        <v>134</v>
      </c>
      <c r="C82" s="20" t="s">
        <v>166</v>
      </c>
      <c r="D82" s="40" t="s">
        <v>887</v>
      </c>
      <c r="E82" s="20" t="s">
        <v>148</v>
      </c>
      <c r="F82" s="6">
        <f t="shared" si="3"/>
        <v>446</v>
      </c>
      <c r="G82" s="6">
        <f t="shared" si="3"/>
        <v>446</v>
      </c>
    </row>
    <row r="83" spans="1:7" ht="47.25" x14ac:dyDescent="0.25">
      <c r="A83" s="25" t="s">
        <v>149</v>
      </c>
      <c r="B83" s="20" t="s">
        <v>134</v>
      </c>
      <c r="C83" s="20" t="s">
        <v>166</v>
      </c>
      <c r="D83" s="40" t="s">
        <v>887</v>
      </c>
      <c r="E83" s="20" t="s">
        <v>150</v>
      </c>
      <c r="F83" s="6">
        <f>'пр.5.1.ведом.21-22'!G73</f>
        <v>446</v>
      </c>
      <c r="G83" s="6">
        <f>'пр.5.1.ведом.21-22'!H73</f>
        <v>446</v>
      </c>
    </row>
    <row r="84" spans="1:7" ht="78.75" x14ac:dyDescent="0.25">
      <c r="A84" s="232" t="s">
        <v>889</v>
      </c>
      <c r="B84" s="24" t="s">
        <v>134</v>
      </c>
      <c r="C84" s="24" t="s">
        <v>166</v>
      </c>
      <c r="D84" s="7" t="s">
        <v>896</v>
      </c>
      <c r="E84" s="24"/>
      <c r="F84" s="4">
        <f>F85</f>
        <v>77</v>
      </c>
      <c r="G84" s="4">
        <f>G85</f>
        <v>77</v>
      </c>
    </row>
    <row r="85" spans="1:7" ht="63" x14ac:dyDescent="0.25">
      <c r="A85" s="178" t="s">
        <v>181</v>
      </c>
      <c r="B85" s="20" t="s">
        <v>134</v>
      </c>
      <c r="C85" s="20" t="s">
        <v>166</v>
      </c>
      <c r="D85" s="40" t="s">
        <v>888</v>
      </c>
      <c r="E85" s="20"/>
      <c r="F85" s="6">
        <f>F86+F88</f>
        <v>77</v>
      </c>
      <c r="G85" s="6">
        <f>G86+G88</f>
        <v>77</v>
      </c>
    </row>
    <row r="86" spans="1:7" ht="94.5" x14ac:dyDescent="0.25">
      <c r="A86" s="25" t="s">
        <v>143</v>
      </c>
      <c r="B86" s="20" t="s">
        <v>134</v>
      </c>
      <c r="C86" s="20" t="s">
        <v>166</v>
      </c>
      <c r="D86" s="40" t="s">
        <v>888</v>
      </c>
      <c r="E86" s="20" t="s">
        <v>144</v>
      </c>
      <c r="F86" s="6">
        <f>F87</f>
        <v>37</v>
      </c>
      <c r="G86" s="6">
        <f>G87</f>
        <v>37</v>
      </c>
    </row>
    <row r="87" spans="1:7" ht="47.25" x14ac:dyDescent="0.25">
      <c r="A87" s="25" t="s">
        <v>145</v>
      </c>
      <c r="B87" s="20" t="s">
        <v>134</v>
      </c>
      <c r="C87" s="20" t="s">
        <v>166</v>
      </c>
      <c r="D87" s="40" t="s">
        <v>888</v>
      </c>
      <c r="E87" s="20" t="s">
        <v>146</v>
      </c>
      <c r="F87" s="6">
        <f>'пр.5.1.ведом.21-22'!G77</f>
        <v>37</v>
      </c>
      <c r="G87" s="6">
        <f>'пр.5.1.ведом.21-22'!H77</f>
        <v>37</v>
      </c>
    </row>
    <row r="88" spans="1:7" ht="31.5" x14ac:dyDescent="0.25">
      <c r="A88" s="25" t="s">
        <v>147</v>
      </c>
      <c r="B88" s="20" t="s">
        <v>134</v>
      </c>
      <c r="C88" s="20" t="s">
        <v>166</v>
      </c>
      <c r="D88" s="40" t="s">
        <v>888</v>
      </c>
      <c r="E88" s="20" t="s">
        <v>148</v>
      </c>
      <c r="F88" s="6">
        <f>F89</f>
        <v>40</v>
      </c>
      <c r="G88" s="6">
        <f>G89</f>
        <v>40</v>
      </c>
    </row>
    <row r="89" spans="1:7" ht="47.25" x14ac:dyDescent="0.25">
      <c r="A89" s="25" t="s">
        <v>149</v>
      </c>
      <c r="B89" s="20" t="s">
        <v>134</v>
      </c>
      <c r="C89" s="20" t="s">
        <v>166</v>
      </c>
      <c r="D89" s="40" t="s">
        <v>888</v>
      </c>
      <c r="E89" s="20" t="s">
        <v>150</v>
      </c>
      <c r="F89" s="6">
        <f>'пр.5.1.ведом.21-22'!G79</f>
        <v>40</v>
      </c>
      <c r="G89" s="6">
        <f>'пр.5.1.ведом.21-22'!H79</f>
        <v>40</v>
      </c>
    </row>
    <row r="90" spans="1:7" ht="78.75" x14ac:dyDescent="0.25">
      <c r="A90" s="234" t="s">
        <v>1156</v>
      </c>
      <c r="B90" s="24" t="s">
        <v>134</v>
      </c>
      <c r="C90" s="24" t="s">
        <v>166</v>
      </c>
      <c r="D90" s="7" t="s">
        <v>897</v>
      </c>
      <c r="E90" s="24"/>
      <c r="F90" s="4">
        <f>F91+F94</f>
        <v>0.5</v>
      </c>
      <c r="G90" s="4">
        <f>G91+G94</f>
        <v>0.5</v>
      </c>
    </row>
    <row r="91" spans="1:7" ht="63" x14ac:dyDescent="0.25">
      <c r="A91" s="33" t="s">
        <v>207</v>
      </c>
      <c r="B91" s="20" t="s">
        <v>134</v>
      </c>
      <c r="C91" s="20" t="s">
        <v>166</v>
      </c>
      <c r="D91" s="40" t="s">
        <v>890</v>
      </c>
      <c r="E91" s="20"/>
      <c r="F91" s="6">
        <f>F92</f>
        <v>0.5</v>
      </c>
      <c r="G91" s="6">
        <f>G92</f>
        <v>0.5</v>
      </c>
    </row>
    <row r="92" spans="1:7" ht="31.5" x14ac:dyDescent="0.25">
      <c r="A92" s="25" t="s">
        <v>147</v>
      </c>
      <c r="B92" s="20" t="s">
        <v>134</v>
      </c>
      <c r="C92" s="20" t="s">
        <v>166</v>
      </c>
      <c r="D92" s="40" t="s">
        <v>890</v>
      </c>
      <c r="E92" s="20" t="s">
        <v>148</v>
      </c>
      <c r="F92" s="6">
        <f>F93</f>
        <v>0.5</v>
      </c>
      <c r="G92" s="6">
        <f>G93</f>
        <v>0.5</v>
      </c>
    </row>
    <row r="93" spans="1:7" ht="47.25" x14ac:dyDescent="0.25">
      <c r="A93" s="25" t="s">
        <v>149</v>
      </c>
      <c r="B93" s="20" t="s">
        <v>134</v>
      </c>
      <c r="C93" s="20" t="s">
        <v>166</v>
      </c>
      <c r="D93" s="40" t="s">
        <v>890</v>
      </c>
      <c r="E93" s="20" t="s">
        <v>150</v>
      </c>
      <c r="F93" s="6">
        <f>'пр.5.1.ведом.21-22'!G83</f>
        <v>0.5</v>
      </c>
      <c r="G93" s="6">
        <f>'пр.5.1.ведом.21-22'!H83</f>
        <v>0.5</v>
      </c>
    </row>
    <row r="94" spans="1:7" ht="63" hidden="1" x14ac:dyDescent="0.25">
      <c r="A94" s="33" t="s">
        <v>207</v>
      </c>
      <c r="B94" s="20" t="s">
        <v>134</v>
      </c>
      <c r="C94" s="20" t="s">
        <v>166</v>
      </c>
      <c r="D94" s="20" t="s">
        <v>891</v>
      </c>
      <c r="E94" s="20"/>
      <c r="F94" s="6">
        <f>'Пр.3 Рд,пр, ЦС,ВР 20'!F101</f>
        <v>0</v>
      </c>
      <c r="G94" s="6">
        <f t="shared" ref="G94:G145" si="4">F94</f>
        <v>0</v>
      </c>
    </row>
    <row r="95" spans="1:7" ht="31.5" hidden="1" x14ac:dyDescent="0.25">
      <c r="A95" s="25" t="s">
        <v>147</v>
      </c>
      <c r="B95" s="20" t="s">
        <v>134</v>
      </c>
      <c r="C95" s="20" t="s">
        <v>166</v>
      </c>
      <c r="D95" s="20" t="s">
        <v>891</v>
      </c>
      <c r="E95" s="20" t="s">
        <v>148</v>
      </c>
      <c r="F95" s="6">
        <f>'Пр.3 Рд,пр, ЦС,ВР 20'!F102</f>
        <v>0</v>
      </c>
      <c r="G95" s="6">
        <f t="shared" si="4"/>
        <v>0</v>
      </c>
    </row>
    <row r="96" spans="1:7" ht="47.25" hidden="1" x14ac:dyDescent="0.25">
      <c r="A96" s="25" t="s">
        <v>149</v>
      </c>
      <c r="B96" s="20" t="s">
        <v>134</v>
      </c>
      <c r="C96" s="20" t="s">
        <v>166</v>
      </c>
      <c r="D96" s="20" t="s">
        <v>891</v>
      </c>
      <c r="E96" s="20" t="s">
        <v>150</v>
      </c>
      <c r="F96" s="6">
        <f>'Пр.3 Рд,пр, ЦС,ВР 20'!F103</f>
        <v>0</v>
      </c>
      <c r="G96" s="6">
        <f t="shared" si="4"/>
        <v>0</v>
      </c>
    </row>
    <row r="97" spans="1:7" ht="63" x14ac:dyDescent="0.25">
      <c r="A97" s="41" t="s">
        <v>135</v>
      </c>
      <c r="B97" s="7" t="s">
        <v>134</v>
      </c>
      <c r="C97" s="7" t="s">
        <v>136</v>
      </c>
      <c r="D97" s="7"/>
      <c r="E97" s="7"/>
      <c r="F97" s="4">
        <f t="shared" ref="F97:G97" si="5">F98</f>
        <v>15283.5</v>
      </c>
      <c r="G97" s="4">
        <f t="shared" si="5"/>
        <v>15283.5</v>
      </c>
    </row>
    <row r="98" spans="1:7" ht="31.5" x14ac:dyDescent="0.25">
      <c r="A98" s="23" t="s">
        <v>990</v>
      </c>
      <c r="B98" s="7" t="s">
        <v>134</v>
      </c>
      <c r="C98" s="7" t="s">
        <v>136</v>
      </c>
      <c r="D98" s="7" t="s">
        <v>904</v>
      </c>
      <c r="E98" s="7"/>
      <c r="F98" s="4">
        <f>F108+F99</f>
        <v>15283.5</v>
      </c>
      <c r="G98" s="4">
        <f>G108+G99</f>
        <v>15283.5</v>
      </c>
    </row>
    <row r="99" spans="1:7" ht="31.5" x14ac:dyDescent="0.25">
      <c r="A99" s="23" t="s">
        <v>1134</v>
      </c>
      <c r="B99" s="7" t="s">
        <v>134</v>
      </c>
      <c r="C99" s="7" t="s">
        <v>136</v>
      </c>
      <c r="D99" s="7" t="s">
        <v>1135</v>
      </c>
      <c r="E99" s="7"/>
      <c r="F99" s="4">
        <f>F100+F105</f>
        <v>1646</v>
      </c>
      <c r="G99" s="4">
        <f>G100+G105</f>
        <v>1646</v>
      </c>
    </row>
    <row r="100" spans="1:7" ht="31.5" x14ac:dyDescent="0.25">
      <c r="A100" s="25" t="s">
        <v>967</v>
      </c>
      <c r="B100" s="20" t="s">
        <v>134</v>
      </c>
      <c r="C100" s="20" t="s">
        <v>136</v>
      </c>
      <c r="D100" s="20" t="s">
        <v>1139</v>
      </c>
      <c r="E100" s="20"/>
      <c r="F100" s="6">
        <f>F101+F103</f>
        <v>1604</v>
      </c>
      <c r="G100" s="6">
        <f>G101+G103</f>
        <v>1604</v>
      </c>
    </row>
    <row r="101" spans="1:7" ht="94.5" x14ac:dyDescent="0.25">
      <c r="A101" s="25" t="s">
        <v>143</v>
      </c>
      <c r="B101" s="20" t="s">
        <v>134</v>
      </c>
      <c r="C101" s="20" t="s">
        <v>136</v>
      </c>
      <c r="D101" s="20" t="s">
        <v>1139</v>
      </c>
      <c r="E101" s="20" t="s">
        <v>144</v>
      </c>
      <c r="F101" s="6">
        <f>F102</f>
        <v>1586</v>
      </c>
      <c r="G101" s="6">
        <f>G102</f>
        <v>1586</v>
      </c>
    </row>
    <row r="102" spans="1:7" ht="47.25" x14ac:dyDescent="0.25">
      <c r="A102" s="25" t="s">
        <v>145</v>
      </c>
      <c r="B102" s="20" t="s">
        <v>134</v>
      </c>
      <c r="C102" s="20" t="s">
        <v>136</v>
      </c>
      <c r="D102" s="20" t="s">
        <v>1139</v>
      </c>
      <c r="E102" s="20" t="s">
        <v>146</v>
      </c>
      <c r="F102" s="6">
        <f>'пр.5.1.ведом.21-22'!G1099</f>
        <v>1586</v>
      </c>
      <c r="G102" s="6">
        <f>'пр.5.1.ведом.21-22'!H1099</f>
        <v>1586</v>
      </c>
    </row>
    <row r="103" spans="1:7" ht="47.25" x14ac:dyDescent="0.25">
      <c r="A103" s="25" t="s">
        <v>214</v>
      </c>
      <c r="B103" s="20" t="s">
        <v>134</v>
      </c>
      <c r="C103" s="20" t="s">
        <v>136</v>
      </c>
      <c r="D103" s="20" t="s">
        <v>1139</v>
      </c>
      <c r="E103" s="20" t="s">
        <v>148</v>
      </c>
      <c r="F103" s="6">
        <f>F104</f>
        <v>18</v>
      </c>
      <c r="G103" s="6">
        <f>G104</f>
        <v>18</v>
      </c>
    </row>
    <row r="104" spans="1:7" ht="47.25" x14ac:dyDescent="0.25">
      <c r="A104" s="25" t="s">
        <v>149</v>
      </c>
      <c r="B104" s="20" t="s">
        <v>134</v>
      </c>
      <c r="C104" s="20" t="s">
        <v>136</v>
      </c>
      <c r="D104" s="20" t="s">
        <v>1139</v>
      </c>
      <c r="E104" s="20" t="s">
        <v>150</v>
      </c>
      <c r="F104" s="6">
        <f>'пр.5.1.ведом.21-22'!G1101</f>
        <v>18</v>
      </c>
      <c r="G104" s="6">
        <f>'пр.5.1.ведом.21-22'!H1101</f>
        <v>18</v>
      </c>
    </row>
    <row r="105" spans="1:7" ht="47.25" x14ac:dyDescent="0.25">
      <c r="A105" s="25" t="s">
        <v>885</v>
      </c>
      <c r="B105" s="20" t="s">
        <v>134</v>
      </c>
      <c r="C105" s="20" t="s">
        <v>136</v>
      </c>
      <c r="D105" s="20" t="s">
        <v>1137</v>
      </c>
      <c r="E105" s="20"/>
      <c r="F105" s="6">
        <f>F106</f>
        <v>42</v>
      </c>
      <c r="G105" s="6">
        <f>G106</f>
        <v>42</v>
      </c>
    </row>
    <row r="106" spans="1:7" ht="94.5" x14ac:dyDescent="0.25">
      <c r="A106" s="25" t="s">
        <v>143</v>
      </c>
      <c r="B106" s="20" t="s">
        <v>134</v>
      </c>
      <c r="C106" s="20" t="s">
        <v>136</v>
      </c>
      <c r="D106" s="20" t="s">
        <v>1137</v>
      </c>
      <c r="E106" s="20" t="s">
        <v>144</v>
      </c>
      <c r="F106" s="6">
        <f>F107</f>
        <v>42</v>
      </c>
      <c r="G106" s="6">
        <f>G107</f>
        <v>42</v>
      </c>
    </row>
    <row r="107" spans="1:7" ht="47.25" x14ac:dyDescent="0.25">
      <c r="A107" s="25" t="s">
        <v>145</v>
      </c>
      <c r="B107" s="20" t="s">
        <v>134</v>
      </c>
      <c r="C107" s="20" t="s">
        <v>136</v>
      </c>
      <c r="D107" s="20" t="s">
        <v>1137</v>
      </c>
      <c r="E107" s="20" t="s">
        <v>146</v>
      </c>
      <c r="F107" s="6">
        <f>'пр.5.1.ведом.21-22'!G1104</f>
        <v>42</v>
      </c>
      <c r="G107" s="6">
        <f>'пр.5.1.ведом.21-22'!H1104</f>
        <v>42</v>
      </c>
    </row>
    <row r="108" spans="1:7" ht="15.75" x14ac:dyDescent="0.25">
      <c r="A108" s="23" t="s">
        <v>991</v>
      </c>
      <c r="B108" s="7" t="s">
        <v>134</v>
      </c>
      <c r="C108" s="7" t="s">
        <v>136</v>
      </c>
      <c r="D108" s="7" t="s">
        <v>905</v>
      </c>
      <c r="E108" s="7"/>
      <c r="F108" s="4">
        <f>F109+F116</f>
        <v>13637.5</v>
      </c>
      <c r="G108" s="4">
        <f>G109+G116</f>
        <v>13637.5</v>
      </c>
    </row>
    <row r="109" spans="1:7" ht="31.5" x14ac:dyDescent="0.25">
      <c r="A109" s="29" t="s">
        <v>967</v>
      </c>
      <c r="B109" s="40" t="s">
        <v>134</v>
      </c>
      <c r="C109" s="40" t="s">
        <v>136</v>
      </c>
      <c r="D109" s="40" t="s">
        <v>906</v>
      </c>
      <c r="E109" s="40"/>
      <c r="F109" s="6">
        <f>F110+F112+F114</f>
        <v>13302.5</v>
      </c>
      <c r="G109" s="6">
        <f>G110+G112+G114</f>
        <v>13302.5</v>
      </c>
    </row>
    <row r="110" spans="1:7" ht="94.5" x14ac:dyDescent="0.25">
      <c r="A110" s="29" t="s">
        <v>143</v>
      </c>
      <c r="B110" s="40" t="s">
        <v>134</v>
      </c>
      <c r="C110" s="40" t="s">
        <v>136</v>
      </c>
      <c r="D110" s="40" t="s">
        <v>906</v>
      </c>
      <c r="E110" s="40" t="s">
        <v>144</v>
      </c>
      <c r="F110" s="6">
        <f>F111</f>
        <v>12474</v>
      </c>
      <c r="G110" s="6">
        <f>G111</f>
        <v>12474</v>
      </c>
    </row>
    <row r="111" spans="1:7" ht="47.25" x14ac:dyDescent="0.25">
      <c r="A111" s="29" t="s">
        <v>145</v>
      </c>
      <c r="B111" s="40" t="s">
        <v>134</v>
      </c>
      <c r="C111" s="40" t="s">
        <v>136</v>
      </c>
      <c r="D111" s="40" t="s">
        <v>906</v>
      </c>
      <c r="E111" s="40" t="s">
        <v>146</v>
      </c>
      <c r="F111" s="6">
        <f>'пр.5.1.ведом.21-22'!G92+'пр.5.1.ведом.21-22'!G16</f>
        <v>12474</v>
      </c>
      <c r="G111" s="6">
        <f>'пр.5.1.ведом.21-22'!H92+'пр.5.1.ведом.21-22'!H16</f>
        <v>12474</v>
      </c>
    </row>
    <row r="112" spans="1:7" ht="31.5" x14ac:dyDescent="0.25">
      <c r="A112" s="29" t="s">
        <v>147</v>
      </c>
      <c r="B112" s="40" t="s">
        <v>134</v>
      </c>
      <c r="C112" s="40" t="s">
        <v>136</v>
      </c>
      <c r="D112" s="40" t="s">
        <v>906</v>
      </c>
      <c r="E112" s="40" t="s">
        <v>148</v>
      </c>
      <c r="F112" s="6">
        <f>F113</f>
        <v>800.5</v>
      </c>
      <c r="G112" s="6">
        <f>G113</f>
        <v>800.5</v>
      </c>
    </row>
    <row r="113" spans="1:7" ht="47.25" x14ac:dyDescent="0.25">
      <c r="A113" s="29" t="s">
        <v>149</v>
      </c>
      <c r="B113" s="40" t="s">
        <v>134</v>
      </c>
      <c r="C113" s="40" t="s">
        <v>136</v>
      </c>
      <c r="D113" s="40" t="s">
        <v>906</v>
      </c>
      <c r="E113" s="40" t="s">
        <v>150</v>
      </c>
      <c r="F113" s="6">
        <f>'пр.5.1.ведом.21-22'!G18</f>
        <v>800.5</v>
      </c>
      <c r="G113" s="6">
        <f>'пр.5.1.ведом.21-22'!H18</f>
        <v>800.5</v>
      </c>
    </row>
    <row r="114" spans="1:7" ht="15.75" x14ac:dyDescent="0.25">
      <c r="A114" s="29" t="s">
        <v>151</v>
      </c>
      <c r="B114" s="40" t="s">
        <v>134</v>
      </c>
      <c r="C114" s="40" t="s">
        <v>136</v>
      </c>
      <c r="D114" s="40" t="s">
        <v>906</v>
      </c>
      <c r="E114" s="40" t="s">
        <v>161</v>
      </c>
      <c r="F114" s="6">
        <f>F115</f>
        <v>28</v>
      </c>
      <c r="G114" s="6">
        <f>G115</f>
        <v>28</v>
      </c>
    </row>
    <row r="115" spans="1:7" ht="31.5" x14ac:dyDescent="0.25">
      <c r="A115" s="29" t="s">
        <v>584</v>
      </c>
      <c r="B115" s="40" t="s">
        <v>134</v>
      </c>
      <c r="C115" s="40" t="s">
        <v>136</v>
      </c>
      <c r="D115" s="40" t="s">
        <v>906</v>
      </c>
      <c r="E115" s="40" t="s">
        <v>154</v>
      </c>
      <c r="F115" s="6">
        <f>'пр.5.1.ведом.21-22'!G20</f>
        <v>28</v>
      </c>
      <c r="G115" s="6">
        <f>'пр.5.1.ведом.21-22'!H20</f>
        <v>28</v>
      </c>
    </row>
    <row r="116" spans="1:7" ht="47.25" x14ac:dyDescent="0.25">
      <c r="A116" s="25" t="s">
        <v>885</v>
      </c>
      <c r="B116" s="20" t="s">
        <v>134</v>
      </c>
      <c r="C116" s="20" t="s">
        <v>136</v>
      </c>
      <c r="D116" s="20" t="s">
        <v>908</v>
      </c>
      <c r="E116" s="20"/>
      <c r="F116" s="6">
        <f>F117</f>
        <v>335</v>
      </c>
      <c r="G116" s="6">
        <f>G117</f>
        <v>335</v>
      </c>
    </row>
    <row r="117" spans="1:7" ht="94.5" x14ac:dyDescent="0.25">
      <c r="A117" s="25" t="s">
        <v>143</v>
      </c>
      <c r="B117" s="20" t="s">
        <v>134</v>
      </c>
      <c r="C117" s="20" t="s">
        <v>136</v>
      </c>
      <c r="D117" s="20" t="s">
        <v>908</v>
      </c>
      <c r="E117" s="20" t="s">
        <v>144</v>
      </c>
      <c r="F117" s="6">
        <f>F118</f>
        <v>335</v>
      </c>
      <c r="G117" s="6">
        <f>G118</f>
        <v>335</v>
      </c>
    </row>
    <row r="118" spans="1:7" ht="47.25" x14ac:dyDescent="0.25">
      <c r="A118" s="25" t="s">
        <v>145</v>
      </c>
      <c r="B118" s="20" t="s">
        <v>134</v>
      </c>
      <c r="C118" s="20" t="s">
        <v>136</v>
      </c>
      <c r="D118" s="20" t="s">
        <v>908</v>
      </c>
      <c r="E118" s="20" t="s">
        <v>146</v>
      </c>
      <c r="F118" s="6">
        <f>'пр.5.1.ведом.21-22'!G23+'пр.5.1.ведом.21-22'!G95</f>
        <v>335</v>
      </c>
      <c r="G118" s="6">
        <f>'пр.5.1.ведом.21-22'!H23+'пр.5.1.ведом.21-22'!H95</f>
        <v>335</v>
      </c>
    </row>
    <row r="119" spans="1:7" s="217" customFormat="1" ht="15.75" hidden="1" customHeight="1" x14ac:dyDescent="0.25">
      <c r="A119" s="23" t="s">
        <v>1369</v>
      </c>
      <c r="B119" s="24" t="s">
        <v>134</v>
      </c>
      <c r="C119" s="24" t="s">
        <v>280</v>
      </c>
      <c r="D119" s="24"/>
      <c r="E119" s="20"/>
      <c r="F119" s="21">
        <f t="shared" ref="F119:G121" si="6">F120</f>
        <v>0</v>
      </c>
      <c r="G119" s="21">
        <f t="shared" si="6"/>
        <v>0</v>
      </c>
    </row>
    <row r="120" spans="1:7" s="217" customFormat="1" ht="15.75" hidden="1" customHeight="1" x14ac:dyDescent="0.25">
      <c r="A120" s="23" t="s">
        <v>157</v>
      </c>
      <c r="B120" s="24" t="s">
        <v>134</v>
      </c>
      <c r="C120" s="24" t="s">
        <v>280</v>
      </c>
      <c r="D120" s="24" t="s">
        <v>912</v>
      </c>
      <c r="E120" s="20"/>
      <c r="F120" s="21">
        <f t="shared" si="6"/>
        <v>0</v>
      </c>
      <c r="G120" s="21">
        <f t="shared" si="6"/>
        <v>0</v>
      </c>
    </row>
    <row r="121" spans="1:7" s="217" customFormat="1" ht="31.7" hidden="1" customHeight="1" x14ac:dyDescent="0.25">
      <c r="A121" s="23" t="s">
        <v>916</v>
      </c>
      <c r="B121" s="24" t="s">
        <v>134</v>
      </c>
      <c r="C121" s="24" t="s">
        <v>280</v>
      </c>
      <c r="D121" s="24" t="s">
        <v>911</v>
      </c>
      <c r="E121" s="20"/>
      <c r="F121" s="21">
        <f t="shared" si="6"/>
        <v>0</v>
      </c>
      <c r="G121" s="21">
        <f t="shared" si="6"/>
        <v>0</v>
      </c>
    </row>
    <row r="122" spans="1:7" s="217" customFormat="1" ht="31.7" hidden="1" customHeight="1" x14ac:dyDescent="0.25">
      <c r="A122" s="45" t="s">
        <v>215</v>
      </c>
      <c r="B122" s="20" t="s">
        <v>134</v>
      </c>
      <c r="C122" s="20" t="s">
        <v>280</v>
      </c>
      <c r="D122" s="20" t="s">
        <v>1368</v>
      </c>
      <c r="E122" s="20"/>
      <c r="F122" s="26">
        <f>F123+F125</f>
        <v>0</v>
      </c>
      <c r="G122" s="26">
        <f>G123+G125</f>
        <v>0</v>
      </c>
    </row>
    <row r="123" spans="1:7" s="217" customFormat="1" ht="94.7" hidden="1" customHeight="1" x14ac:dyDescent="0.25">
      <c r="A123" s="25" t="s">
        <v>143</v>
      </c>
      <c r="B123" s="20" t="s">
        <v>134</v>
      </c>
      <c r="C123" s="20" t="s">
        <v>280</v>
      </c>
      <c r="D123" s="20" t="s">
        <v>1368</v>
      </c>
      <c r="E123" s="20" t="s">
        <v>144</v>
      </c>
      <c r="F123" s="26">
        <f>F124</f>
        <v>0</v>
      </c>
      <c r="G123" s="26">
        <f>G124</f>
        <v>0</v>
      </c>
    </row>
    <row r="124" spans="1:7" s="217" customFormat="1" ht="47.25" hidden="1" customHeight="1" x14ac:dyDescent="0.25">
      <c r="A124" s="25" t="s">
        <v>145</v>
      </c>
      <c r="B124" s="20" t="s">
        <v>134</v>
      </c>
      <c r="C124" s="20" t="s">
        <v>280</v>
      </c>
      <c r="D124" s="20" t="s">
        <v>1368</v>
      </c>
      <c r="E124" s="20" t="s">
        <v>146</v>
      </c>
      <c r="F124" s="26">
        <f>'пр.5.1.ведом.21-22'!G101</f>
        <v>0</v>
      </c>
      <c r="G124" s="26">
        <f>'пр.5.1.ведом.21-22'!H101</f>
        <v>0</v>
      </c>
    </row>
    <row r="125" spans="1:7" s="217" customFormat="1" ht="47.25" hidden="1" customHeight="1" x14ac:dyDescent="0.25">
      <c r="A125" s="25" t="s">
        <v>214</v>
      </c>
      <c r="B125" s="20" t="s">
        <v>134</v>
      </c>
      <c r="C125" s="20" t="s">
        <v>280</v>
      </c>
      <c r="D125" s="20" t="s">
        <v>1368</v>
      </c>
      <c r="E125" s="20" t="s">
        <v>148</v>
      </c>
      <c r="F125" s="26">
        <f>F126</f>
        <v>0</v>
      </c>
      <c r="G125" s="26">
        <f>G126</f>
        <v>0</v>
      </c>
    </row>
    <row r="126" spans="1:7" s="217" customFormat="1" ht="47.25" hidden="1" customHeight="1" x14ac:dyDescent="0.25">
      <c r="A126" s="25" t="s">
        <v>149</v>
      </c>
      <c r="B126" s="20" t="s">
        <v>134</v>
      </c>
      <c r="C126" s="20" t="s">
        <v>280</v>
      </c>
      <c r="D126" s="20" t="s">
        <v>1368</v>
      </c>
      <c r="E126" s="20" t="s">
        <v>150</v>
      </c>
      <c r="F126" s="26">
        <f>'пр.5.1.ведом.21-22'!G103</f>
        <v>0</v>
      </c>
      <c r="G126" s="26">
        <f>'пр.5.1.ведом.21-22'!H103</f>
        <v>0</v>
      </c>
    </row>
    <row r="127" spans="1:7" ht="15.75" x14ac:dyDescent="0.25">
      <c r="A127" s="41" t="s">
        <v>155</v>
      </c>
      <c r="B127" s="7" t="s">
        <v>134</v>
      </c>
      <c r="C127" s="7" t="s">
        <v>156</v>
      </c>
      <c r="D127" s="7"/>
      <c r="E127" s="7"/>
      <c r="F127" s="4">
        <f>F128+F159+F168+F191+F200+F205+F210</f>
        <v>59058.720000000001</v>
      </c>
      <c r="G127" s="4">
        <f>G128+G159+G168+G191+G200+G205+G210</f>
        <v>63886.92</v>
      </c>
    </row>
    <row r="128" spans="1:7" ht="15.75" x14ac:dyDescent="0.25">
      <c r="A128" s="23" t="s">
        <v>157</v>
      </c>
      <c r="B128" s="24" t="s">
        <v>134</v>
      </c>
      <c r="C128" s="24" t="s">
        <v>156</v>
      </c>
      <c r="D128" s="24" t="s">
        <v>912</v>
      </c>
      <c r="E128" s="24"/>
      <c r="F128" s="4">
        <f>F129+F140+F150</f>
        <v>55372.5</v>
      </c>
      <c r="G128" s="4">
        <f>G129+G140+G150</f>
        <v>63227.1</v>
      </c>
    </row>
    <row r="129" spans="1:7" ht="15.75" x14ac:dyDescent="0.25">
      <c r="A129" s="23" t="s">
        <v>1090</v>
      </c>
      <c r="B129" s="24" t="s">
        <v>134</v>
      </c>
      <c r="C129" s="24" t="s">
        <v>156</v>
      </c>
      <c r="D129" s="24" t="s">
        <v>1089</v>
      </c>
      <c r="E129" s="24"/>
      <c r="F129" s="310">
        <f>F133+F130</f>
        <v>38273</v>
      </c>
      <c r="G129" s="310">
        <f>G133+G130</f>
        <v>38273</v>
      </c>
    </row>
    <row r="130" spans="1:7" ht="47.25" x14ac:dyDescent="0.25">
      <c r="A130" s="25" t="s">
        <v>885</v>
      </c>
      <c r="B130" s="20" t="s">
        <v>134</v>
      </c>
      <c r="C130" s="20" t="s">
        <v>156</v>
      </c>
      <c r="D130" s="20" t="s">
        <v>1092</v>
      </c>
      <c r="E130" s="20"/>
      <c r="F130" s="6">
        <f>F131</f>
        <v>672</v>
      </c>
      <c r="G130" s="6">
        <f>G131</f>
        <v>672</v>
      </c>
    </row>
    <row r="131" spans="1:7" ht="94.5" x14ac:dyDescent="0.25">
      <c r="A131" s="25" t="s">
        <v>143</v>
      </c>
      <c r="B131" s="20" t="s">
        <v>134</v>
      </c>
      <c r="C131" s="20" t="s">
        <v>156</v>
      </c>
      <c r="D131" s="20" t="s">
        <v>1092</v>
      </c>
      <c r="E131" s="20" t="s">
        <v>144</v>
      </c>
      <c r="F131" s="6">
        <f>F132</f>
        <v>672</v>
      </c>
      <c r="G131" s="6">
        <f>G132</f>
        <v>672</v>
      </c>
    </row>
    <row r="132" spans="1:7" ht="47.25" x14ac:dyDescent="0.25">
      <c r="A132" s="25" t="s">
        <v>145</v>
      </c>
      <c r="B132" s="20" t="s">
        <v>134</v>
      </c>
      <c r="C132" s="20" t="s">
        <v>156</v>
      </c>
      <c r="D132" s="20" t="s">
        <v>1092</v>
      </c>
      <c r="E132" s="20" t="s">
        <v>225</v>
      </c>
      <c r="F132" s="6">
        <f>'пр.5.1.ведом.21-22'!G857</f>
        <v>672</v>
      </c>
      <c r="G132" s="6">
        <f>'пр.5.1.ведом.21-22'!H857</f>
        <v>672</v>
      </c>
    </row>
    <row r="133" spans="1:7" ht="31.5" x14ac:dyDescent="0.25">
      <c r="A133" s="25" t="s">
        <v>834</v>
      </c>
      <c r="B133" s="20" t="s">
        <v>134</v>
      </c>
      <c r="C133" s="20" t="s">
        <v>156</v>
      </c>
      <c r="D133" s="20" t="s">
        <v>1091</v>
      </c>
      <c r="E133" s="20"/>
      <c r="F133" s="6">
        <f>F134+F136+F138</f>
        <v>37601</v>
      </c>
      <c r="G133" s="6">
        <f>G134+G136+G138</f>
        <v>37601</v>
      </c>
    </row>
    <row r="134" spans="1:7" ht="94.5" x14ac:dyDescent="0.25">
      <c r="A134" s="25" t="s">
        <v>143</v>
      </c>
      <c r="B134" s="20" t="s">
        <v>134</v>
      </c>
      <c r="C134" s="20" t="s">
        <v>156</v>
      </c>
      <c r="D134" s="20" t="s">
        <v>1091</v>
      </c>
      <c r="E134" s="20" t="s">
        <v>144</v>
      </c>
      <c r="F134" s="6">
        <f>F135</f>
        <v>30180</v>
      </c>
      <c r="G134" s="6">
        <f>G135</f>
        <v>30180</v>
      </c>
    </row>
    <row r="135" spans="1:7" ht="31.5" x14ac:dyDescent="0.25">
      <c r="A135" s="46" t="s">
        <v>358</v>
      </c>
      <c r="B135" s="20" t="s">
        <v>134</v>
      </c>
      <c r="C135" s="20" t="s">
        <v>156</v>
      </c>
      <c r="D135" s="20" t="s">
        <v>1091</v>
      </c>
      <c r="E135" s="20" t="s">
        <v>225</v>
      </c>
      <c r="F135" s="6">
        <f>'пр.5.1.ведом.21-22'!G860</f>
        <v>30180</v>
      </c>
      <c r="G135" s="6">
        <f>'пр.5.1.ведом.21-22'!H860</f>
        <v>30180</v>
      </c>
    </row>
    <row r="136" spans="1:7" ht="31.5" x14ac:dyDescent="0.25">
      <c r="A136" s="25" t="s">
        <v>147</v>
      </c>
      <c r="B136" s="20" t="s">
        <v>134</v>
      </c>
      <c r="C136" s="20" t="s">
        <v>156</v>
      </c>
      <c r="D136" s="20" t="s">
        <v>1091</v>
      </c>
      <c r="E136" s="20" t="s">
        <v>148</v>
      </c>
      <c r="F136" s="6">
        <f>F137</f>
        <v>7000</v>
      </c>
      <c r="G136" s="6">
        <f>G137</f>
        <v>7000</v>
      </c>
    </row>
    <row r="137" spans="1:7" ht="47.25" x14ac:dyDescent="0.25">
      <c r="A137" s="25" t="s">
        <v>149</v>
      </c>
      <c r="B137" s="20" t="s">
        <v>134</v>
      </c>
      <c r="C137" s="20" t="s">
        <v>156</v>
      </c>
      <c r="D137" s="20" t="s">
        <v>1091</v>
      </c>
      <c r="E137" s="20" t="s">
        <v>150</v>
      </c>
      <c r="F137" s="6">
        <f>'пр.5.1.ведом.21-22'!G862</f>
        <v>7000</v>
      </c>
      <c r="G137" s="6">
        <f>'пр.5.1.ведом.21-22'!H862</f>
        <v>7000</v>
      </c>
    </row>
    <row r="138" spans="1:7" ht="15.75" x14ac:dyDescent="0.25">
      <c r="A138" s="25" t="s">
        <v>151</v>
      </c>
      <c r="B138" s="20" t="s">
        <v>134</v>
      </c>
      <c r="C138" s="20" t="s">
        <v>156</v>
      </c>
      <c r="D138" s="20" t="s">
        <v>1091</v>
      </c>
      <c r="E138" s="20" t="s">
        <v>161</v>
      </c>
      <c r="F138" s="6">
        <f>F139</f>
        <v>421</v>
      </c>
      <c r="G138" s="6">
        <f>G139</f>
        <v>421</v>
      </c>
    </row>
    <row r="139" spans="1:7" ht="15.75" x14ac:dyDescent="0.25">
      <c r="A139" s="25" t="s">
        <v>727</v>
      </c>
      <c r="B139" s="20" t="s">
        <v>134</v>
      </c>
      <c r="C139" s="20" t="s">
        <v>156</v>
      </c>
      <c r="D139" s="20" t="s">
        <v>1091</v>
      </c>
      <c r="E139" s="20" t="s">
        <v>154</v>
      </c>
      <c r="F139" s="6">
        <f>'пр.5.1.ведом.21-22'!G864</f>
        <v>421</v>
      </c>
      <c r="G139" s="6">
        <f>'пр.5.1.ведом.21-22'!H864</f>
        <v>421</v>
      </c>
    </row>
    <row r="140" spans="1:7" ht="31.5" x14ac:dyDescent="0.25">
      <c r="A140" s="23" t="s">
        <v>916</v>
      </c>
      <c r="B140" s="24" t="s">
        <v>134</v>
      </c>
      <c r="C140" s="24" t="s">
        <v>156</v>
      </c>
      <c r="D140" s="24" t="s">
        <v>911</v>
      </c>
      <c r="E140" s="24"/>
      <c r="F140" s="4">
        <f>F141+F147</f>
        <v>10419.5</v>
      </c>
      <c r="G140" s="4">
        <f>G141+G147</f>
        <v>18274.099999999999</v>
      </c>
    </row>
    <row r="141" spans="1:7" ht="63" x14ac:dyDescent="0.25">
      <c r="A141" s="25" t="s">
        <v>404</v>
      </c>
      <c r="B141" s="20" t="s">
        <v>134</v>
      </c>
      <c r="C141" s="20" t="s">
        <v>156</v>
      </c>
      <c r="D141" s="20" t="s">
        <v>1169</v>
      </c>
      <c r="E141" s="20"/>
      <c r="F141" s="6">
        <f>F142</f>
        <v>2900</v>
      </c>
      <c r="G141" s="6">
        <f>G142</f>
        <v>2900</v>
      </c>
    </row>
    <row r="142" spans="1:7" ht="31.5" x14ac:dyDescent="0.25">
      <c r="A142" s="25" t="s">
        <v>147</v>
      </c>
      <c r="B142" s="20" t="s">
        <v>134</v>
      </c>
      <c r="C142" s="20" t="s">
        <v>156</v>
      </c>
      <c r="D142" s="20" t="s">
        <v>1169</v>
      </c>
      <c r="E142" s="20" t="s">
        <v>148</v>
      </c>
      <c r="F142" s="6">
        <f>F143</f>
        <v>2900</v>
      </c>
      <c r="G142" s="6">
        <f>G143</f>
        <v>2900</v>
      </c>
    </row>
    <row r="143" spans="1:7" ht="47.25" x14ac:dyDescent="0.25">
      <c r="A143" s="25" t="s">
        <v>149</v>
      </c>
      <c r="B143" s="20" t="s">
        <v>134</v>
      </c>
      <c r="C143" s="20" t="s">
        <v>156</v>
      </c>
      <c r="D143" s="20" t="s">
        <v>1169</v>
      </c>
      <c r="E143" s="20" t="s">
        <v>150</v>
      </c>
      <c r="F143" s="6">
        <f>'пр.5.1.ведом.21-22'!G516</f>
        <v>2900</v>
      </c>
      <c r="G143" s="6">
        <f>'пр.5.1.ведом.21-22'!H516</f>
        <v>2900</v>
      </c>
    </row>
    <row r="144" spans="1:7" ht="47.25" hidden="1" x14ac:dyDescent="0.25">
      <c r="A144" s="25" t="s">
        <v>1004</v>
      </c>
      <c r="B144" s="20" t="s">
        <v>134</v>
      </c>
      <c r="C144" s="20" t="s">
        <v>156</v>
      </c>
      <c r="D144" s="20" t="s">
        <v>1170</v>
      </c>
      <c r="E144" s="20"/>
      <c r="F144" s="6">
        <f>'Пр.3 Рд,пр, ЦС,ВР 20'!F151</f>
        <v>0</v>
      </c>
      <c r="G144" s="6">
        <f t="shared" si="4"/>
        <v>0</v>
      </c>
    </row>
    <row r="145" spans="1:7" ht="31.5" hidden="1" x14ac:dyDescent="0.25">
      <c r="A145" s="25" t="s">
        <v>147</v>
      </c>
      <c r="B145" s="20" t="s">
        <v>134</v>
      </c>
      <c r="C145" s="20" t="s">
        <v>156</v>
      </c>
      <c r="D145" s="20" t="s">
        <v>1170</v>
      </c>
      <c r="E145" s="20" t="s">
        <v>148</v>
      </c>
      <c r="F145" s="6">
        <f>'Пр.3 Рд,пр, ЦС,ВР 20'!F152</f>
        <v>0</v>
      </c>
      <c r="G145" s="6">
        <f t="shared" si="4"/>
        <v>0</v>
      </c>
    </row>
    <row r="146" spans="1:7" ht="47.25" hidden="1" x14ac:dyDescent="0.25">
      <c r="A146" s="25" t="s">
        <v>149</v>
      </c>
      <c r="B146" s="20" t="s">
        <v>134</v>
      </c>
      <c r="C146" s="20" t="s">
        <v>156</v>
      </c>
      <c r="D146" s="20" t="s">
        <v>1170</v>
      </c>
      <c r="E146" s="20" t="s">
        <v>150</v>
      </c>
      <c r="F146" s="6">
        <f>'Пр.3 Рд,пр, ЦС,ВР 20'!F153</f>
        <v>0</v>
      </c>
      <c r="G146" s="6">
        <f t="shared" ref="G146:G212" si="7">F146</f>
        <v>0</v>
      </c>
    </row>
    <row r="147" spans="1:7" s="217" customFormat="1" ht="15.75" x14ac:dyDescent="0.25">
      <c r="A147" s="25" t="s">
        <v>1357</v>
      </c>
      <c r="B147" s="20" t="s">
        <v>134</v>
      </c>
      <c r="C147" s="20" t="s">
        <v>156</v>
      </c>
      <c r="D147" s="20" t="s">
        <v>1358</v>
      </c>
      <c r="E147" s="20"/>
      <c r="F147" s="26">
        <f>F148</f>
        <v>7519.5</v>
      </c>
      <c r="G147" s="26">
        <f>G148</f>
        <v>15374.1</v>
      </c>
    </row>
    <row r="148" spans="1:7" s="217" customFormat="1" ht="15.75" x14ac:dyDescent="0.25">
      <c r="A148" s="25" t="s">
        <v>151</v>
      </c>
      <c r="B148" s="20" t="s">
        <v>134</v>
      </c>
      <c r="C148" s="20" t="s">
        <v>156</v>
      </c>
      <c r="D148" s="20" t="s">
        <v>1358</v>
      </c>
      <c r="E148" s="20" t="s">
        <v>161</v>
      </c>
      <c r="F148" s="26">
        <f>F149</f>
        <v>7519.5</v>
      </c>
      <c r="G148" s="26">
        <f>G149</f>
        <v>15374.1</v>
      </c>
    </row>
    <row r="149" spans="1:7" s="217" customFormat="1" ht="15.75" x14ac:dyDescent="0.25">
      <c r="A149" s="25" t="s">
        <v>1357</v>
      </c>
      <c r="B149" s="20" t="s">
        <v>134</v>
      </c>
      <c r="C149" s="20" t="s">
        <v>156</v>
      </c>
      <c r="D149" s="20" t="s">
        <v>1358</v>
      </c>
      <c r="E149" s="20" t="s">
        <v>1359</v>
      </c>
      <c r="F149" s="26">
        <f>'пр.5.1.ведом.21-22'!G29</f>
        <v>7519.5</v>
      </c>
      <c r="G149" s="26">
        <f>'пр.5.1.ведом.21-22'!H29</f>
        <v>15374.1</v>
      </c>
    </row>
    <row r="150" spans="1:7" ht="31.5" x14ac:dyDescent="0.25">
      <c r="A150" s="23" t="s">
        <v>995</v>
      </c>
      <c r="B150" s="24" t="s">
        <v>134</v>
      </c>
      <c r="C150" s="24" t="s">
        <v>156</v>
      </c>
      <c r="D150" s="24" t="s">
        <v>913</v>
      </c>
      <c r="E150" s="24"/>
      <c r="F150" s="4">
        <f>F151+F156</f>
        <v>6680</v>
      </c>
      <c r="G150" s="4">
        <f>G151+G156</f>
        <v>6680</v>
      </c>
    </row>
    <row r="151" spans="1:7" ht="31.5" x14ac:dyDescent="0.25">
      <c r="A151" s="25" t="s">
        <v>1001</v>
      </c>
      <c r="B151" s="20" t="s">
        <v>134</v>
      </c>
      <c r="C151" s="20" t="s">
        <v>156</v>
      </c>
      <c r="D151" s="20" t="s">
        <v>914</v>
      </c>
      <c r="E151" s="20"/>
      <c r="F151" s="6">
        <f>F152+F154</f>
        <v>6554</v>
      </c>
      <c r="G151" s="6">
        <f>G152+G154</f>
        <v>6554</v>
      </c>
    </row>
    <row r="152" spans="1:7" ht="94.5" x14ac:dyDescent="0.25">
      <c r="A152" s="25" t="s">
        <v>143</v>
      </c>
      <c r="B152" s="20" t="s">
        <v>134</v>
      </c>
      <c r="C152" s="20" t="s">
        <v>156</v>
      </c>
      <c r="D152" s="20" t="s">
        <v>914</v>
      </c>
      <c r="E152" s="20" t="s">
        <v>144</v>
      </c>
      <c r="F152" s="6">
        <f>F153</f>
        <v>5343</v>
      </c>
      <c r="G152" s="6">
        <f>G153</f>
        <v>5343</v>
      </c>
    </row>
    <row r="153" spans="1:7" ht="31.5" x14ac:dyDescent="0.25">
      <c r="A153" s="25" t="s">
        <v>224</v>
      </c>
      <c r="B153" s="20" t="s">
        <v>134</v>
      </c>
      <c r="C153" s="20" t="s">
        <v>156</v>
      </c>
      <c r="D153" s="20" t="s">
        <v>914</v>
      </c>
      <c r="E153" s="20" t="s">
        <v>225</v>
      </c>
      <c r="F153" s="6">
        <f>'пр.5.1.ведом.21-22'!G109</f>
        <v>5343</v>
      </c>
      <c r="G153" s="6">
        <f>'пр.5.1.ведом.21-22'!H109</f>
        <v>5343</v>
      </c>
    </row>
    <row r="154" spans="1:7" ht="47.25" x14ac:dyDescent="0.25">
      <c r="A154" s="25" t="s">
        <v>214</v>
      </c>
      <c r="B154" s="20" t="s">
        <v>134</v>
      </c>
      <c r="C154" s="20" t="s">
        <v>156</v>
      </c>
      <c r="D154" s="20" t="s">
        <v>914</v>
      </c>
      <c r="E154" s="20" t="s">
        <v>148</v>
      </c>
      <c r="F154" s="6">
        <f>F155</f>
        <v>1211</v>
      </c>
      <c r="G154" s="6">
        <f>G155</f>
        <v>1211</v>
      </c>
    </row>
    <row r="155" spans="1:7" ht="47.25" x14ac:dyDescent="0.25">
      <c r="A155" s="25" t="s">
        <v>149</v>
      </c>
      <c r="B155" s="20" t="s">
        <v>134</v>
      </c>
      <c r="C155" s="20" t="s">
        <v>156</v>
      </c>
      <c r="D155" s="20" t="s">
        <v>914</v>
      </c>
      <c r="E155" s="20" t="s">
        <v>150</v>
      </c>
      <c r="F155" s="6">
        <f>'пр.5.1.ведом.21-22'!G111</f>
        <v>1211</v>
      </c>
      <c r="G155" s="6">
        <f>'пр.5.1.ведом.21-22'!H111</f>
        <v>1211</v>
      </c>
    </row>
    <row r="156" spans="1:7" ht="47.25" x14ac:dyDescent="0.25">
      <c r="A156" s="25" t="s">
        <v>885</v>
      </c>
      <c r="B156" s="20" t="s">
        <v>134</v>
      </c>
      <c r="C156" s="20" t="s">
        <v>156</v>
      </c>
      <c r="D156" s="20" t="s">
        <v>915</v>
      </c>
      <c r="E156" s="20"/>
      <c r="F156" s="6">
        <f>F157</f>
        <v>126</v>
      </c>
      <c r="G156" s="6">
        <f>G157</f>
        <v>126</v>
      </c>
    </row>
    <row r="157" spans="1:7" ht="94.5" x14ac:dyDescent="0.25">
      <c r="A157" s="25" t="s">
        <v>143</v>
      </c>
      <c r="B157" s="20" t="s">
        <v>134</v>
      </c>
      <c r="C157" s="20" t="s">
        <v>156</v>
      </c>
      <c r="D157" s="20" t="s">
        <v>915</v>
      </c>
      <c r="E157" s="20" t="s">
        <v>144</v>
      </c>
      <c r="F157" s="6">
        <f>F158</f>
        <v>126</v>
      </c>
      <c r="G157" s="6">
        <f>G158</f>
        <v>126</v>
      </c>
    </row>
    <row r="158" spans="1:7" ht="47.25" x14ac:dyDescent="0.25">
      <c r="A158" s="25" t="s">
        <v>145</v>
      </c>
      <c r="B158" s="20" t="s">
        <v>134</v>
      </c>
      <c r="C158" s="20" t="s">
        <v>156</v>
      </c>
      <c r="D158" s="20" t="s">
        <v>915</v>
      </c>
      <c r="E158" s="20" t="s">
        <v>146</v>
      </c>
      <c r="F158" s="6">
        <f>'пр.5.1.ведом.21-22'!G114</f>
        <v>126</v>
      </c>
      <c r="G158" s="6">
        <f>'пр.5.1.ведом.21-22'!H114</f>
        <v>126</v>
      </c>
    </row>
    <row r="159" spans="1:7" ht="63" x14ac:dyDescent="0.25">
      <c r="A159" s="23" t="s">
        <v>1423</v>
      </c>
      <c r="B159" s="7" t="s">
        <v>134</v>
      </c>
      <c r="C159" s="7" t="s">
        <v>156</v>
      </c>
      <c r="D159" s="7" t="s">
        <v>360</v>
      </c>
      <c r="E159" s="7"/>
      <c r="F159" s="4">
        <f>F160</f>
        <v>60</v>
      </c>
      <c r="G159" s="4">
        <f>G160</f>
        <v>60</v>
      </c>
    </row>
    <row r="160" spans="1:7" ht="110.25" x14ac:dyDescent="0.25">
      <c r="A160" s="41" t="s">
        <v>1450</v>
      </c>
      <c r="B160" s="7" t="s">
        <v>134</v>
      </c>
      <c r="C160" s="7" t="s">
        <v>156</v>
      </c>
      <c r="D160" s="7" t="s">
        <v>397</v>
      </c>
      <c r="E160" s="7"/>
      <c r="F160" s="4">
        <f>F161</f>
        <v>60</v>
      </c>
      <c r="G160" s="4">
        <f>G161</f>
        <v>60</v>
      </c>
    </row>
    <row r="161" spans="1:7" ht="63" x14ac:dyDescent="0.25">
      <c r="A161" s="268" t="s">
        <v>1219</v>
      </c>
      <c r="B161" s="7" t="s">
        <v>134</v>
      </c>
      <c r="C161" s="7" t="s">
        <v>156</v>
      </c>
      <c r="D161" s="7" t="s">
        <v>933</v>
      </c>
      <c r="E161" s="7"/>
      <c r="F161" s="4">
        <f>F162+F165</f>
        <v>60</v>
      </c>
      <c r="G161" s="4">
        <f>G162+G165</f>
        <v>60</v>
      </c>
    </row>
    <row r="162" spans="1:7" ht="47.25" x14ac:dyDescent="0.25">
      <c r="A162" s="99" t="s">
        <v>1220</v>
      </c>
      <c r="B162" s="40" t="s">
        <v>134</v>
      </c>
      <c r="C162" s="40" t="s">
        <v>156</v>
      </c>
      <c r="D162" s="40" t="s">
        <v>934</v>
      </c>
      <c r="E162" s="40"/>
      <c r="F162" s="6">
        <f>F163</f>
        <v>60</v>
      </c>
      <c r="G162" s="6">
        <f>G163</f>
        <v>60</v>
      </c>
    </row>
    <row r="163" spans="1:7" ht="31.5" x14ac:dyDescent="0.25">
      <c r="A163" s="29" t="s">
        <v>147</v>
      </c>
      <c r="B163" s="40" t="s">
        <v>134</v>
      </c>
      <c r="C163" s="40" t="s">
        <v>156</v>
      </c>
      <c r="D163" s="40" t="s">
        <v>934</v>
      </c>
      <c r="E163" s="40" t="s">
        <v>148</v>
      </c>
      <c r="F163" s="6">
        <f>F164</f>
        <v>60</v>
      </c>
      <c r="G163" s="6">
        <f>G164</f>
        <v>60</v>
      </c>
    </row>
    <row r="164" spans="1:7" ht="47.25" x14ac:dyDescent="0.25">
      <c r="A164" s="29" t="s">
        <v>149</v>
      </c>
      <c r="B164" s="40" t="s">
        <v>134</v>
      </c>
      <c r="C164" s="40" t="s">
        <v>156</v>
      </c>
      <c r="D164" s="40" t="s">
        <v>934</v>
      </c>
      <c r="E164" s="40" t="s">
        <v>150</v>
      </c>
      <c r="F164" s="6">
        <f>'пр.5.1.ведом.21-22'!G222</f>
        <v>60</v>
      </c>
      <c r="G164" s="6">
        <f>'пр.5.1.ведом.21-22'!H222</f>
        <v>60</v>
      </c>
    </row>
    <row r="165" spans="1:7" ht="47.25" hidden="1" x14ac:dyDescent="0.25">
      <c r="A165" s="35" t="s">
        <v>936</v>
      </c>
      <c r="B165" s="20" t="s">
        <v>134</v>
      </c>
      <c r="C165" s="20" t="s">
        <v>156</v>
      </c>
      <c r="D165" s="20" t="s">
        <v>935</v>
      </c>
      <c r="E165" s="24"/>
      <c r="F165" s="6">
        <f>'Пр.3 Рд,пр, ЦС,ВР 20'!F172</f>
        <v>0</v>
      </c>
      <c r="G165" s="6">
        <f t="shared" si="7"/>
        <v>0</v>
      </c>
    </row>
    <row r="166" spans="1:7" ht="31.5" hidden="1" x14ac:dyDescent="0.25">
      <c r="A166" s="25" t="s">
        <v>147</v>
      </c>
      <c r="B166" s="20" t="s">
        <v>134</v>
      </c>
      <c r="C166" s="20" t="s">
        <v>156</v>
      </c>
      <c r="D166" s="20" t="s">
        <v>935</v>
      </c>
      <c r="E166" s="20" t="s">
        <v>148</v>
      </c>
      <c r="F166" s="6">
        <f>'Пр.3 Рд,пр, ЦС,ВР 20'!F173</f>
        <v>0</v>
      </c>
      <c r="G166" s="6">
        <f t="shared" si="7"/>
        <v>0</v>
      </c>
    </row>
    <row r="167" spans="1:7" ht="47.25" hidden="1" x14ac:dyDescent="0.25">
      <c r="A167" s="25" t="s">
        <v>149</v>
      </c>
      <c r="B167" s="20" t="s">
        <v>134</v>
      </c>
      <c r="C167" s="20" t="s">
        <v>156</v>
      </c>
      <c r="D167" s="20" t="s">
        <v>935</v>
      </c>
      <c r="E167" s="20" t="s">
        <v>150</v>
      </c>
      <c r="F167" s="6">
        <f>'Пр.3 Рд,пр, ЦС,ВР 20'!F174</f>
        <v>0</v>
      </c>
      <c r="G167" s="6">
        <f t="shared" si="7"/>
        <v>0</v>
      </c>
    </row>
    <row r="168" spans="1:7" ht="63" x14ac:dyDescent="0.25">
      <c r="A168" s="23" t="s">
        <v>1424</v>
      </c>
      <c r="B168" s="24" t="s">
        <v>134</v>
      </c>
      <c r="C168" s="24" t="s">
        <v>156</v>
      </c>
      <c r="D168" s="24" t="s">
        <v>351</v>
      </c>
      <c r="E168" s="24"/>
      <c r="F168" s="59">
        <f>F169</f>
        <v>175</v>
      </c>
      <c r="G168" s="59">
        <f>G169</f>
        <v>175</v>
      </c>
    </row>
    <row r="169" spans="1:7" ht="45" customHeight="1" x14ac:dyDescent="0.25">
      <c r="A169" s="23" t="s">
        <v>1225</v>
      </c>
      <c r="B169" s="24" t="s">
        <v>134</v>
      </c>
      <c r="C169" s="24" t="s">
        <v>156</v>
      </c>
      <c r="D169" s="24" t="s">
        <v>1226</v>
      </c>
      <c r="E169" s="24"/>
      <c r="F169" s="59">
        <f>F170+F176+F179+F182+F188+F173+F185</f>
        <v>175</v>
      </c>
      <c r="G169" s="59">
        <f>G170+G176+G179+G182+G188+G173+G185</f>
        <v>175</v>
      </c>
    </row>
    <row r="170" spans="1:7" ht="31.5" x14ac:dyDescent="0.25">
      <c r="A170" s="98" t="s">
        <v>352</v>
      </c>
      <c r="B170" s="20" t="s">
        <v>134</v>
      </c>
      <c r="C170" s="20" t="s">
        <v>156</v>
      </c>
      <c r="D170" s="20" t="s">
        <v>1227</v>
      </c>
      <c r="E170" s="20"/>
      <c r="F170" s="6">
        <f>F171</f>
        <v>120</v>
      </c>
      <c r="G170" s="6">
        <f>G171</f>
        <v>120</v>
      </c>
    </row>
    <row r="171" spans="1:7" ht="31.5" x14ac:dyDescent="0.25">
      <c r="A171" s="25" t="s">
        <v>147</v>
      </c>
      <c r="B171" s="20" t="s">
        <v>134</v>
      </c>
      <c r="C171" s="20" t="s">
        <v>156</v>
      </c>
      <c r="D171" s="20" t="s">
        <v>1227</v>
      </c>
      <c r="E171" s="20" t="s">
        <v>148</v>
      </c>
      <c r="F171" s="6">
        <f>F172</f>
        <v>120</v>
      </c>
      <c r="G171" s="6">
        <f>G172</f>
        <v>120</v>
      </c>
    </row>
    <row r="172" spans="1:7" ht="47.25" x14ac:dyDescent="0.25">
      <c r="A172" s="25" t="s">
        <v>149</v>
      </c>
      <c r="B172" s="20" t="s">
        <v>134</v>
      </c>
      <c r="C172" s="20" t="s">
        <v>156</v>
      </c>
      <c r="D172" s="20" t="s">
        <v>1227</v>
      </c>
      <c r="E172" s="20" t="s">
        <v>150</v>
      </c>
      <c r="F172" s="6">
        <f>'пр.5.1.ведом.21-22'!G780+'пр.5.1.ведом.21-22'!G542</f>
        <v>120</v>
      </c>
      <c r="G172" s="6">
        <f>'пр.5.1.ведом.21-22'!H780+'пр.5.1.ведом.21-22'!H542</f>
        <v>120</v>
      </c>
    </row>
    <row r="173" spans="1:7" ht="63" hidden="1" x14ac:dyDescent="0.25">
      <c r="A173" s="98" t="s">
        <v>833</v>
      </c>
      <c r="B173" s="20" t="s">
        <v>134</v>
      </c>
      <c r="C173" s="20" t="s">
        <v>156</v>
      </c>
      <c r="D173" s="20" t="s">
        <v>1232</v>
      </c>
      <c r="E173" s="20"/>
      <c r="F173" s="6">
        <f>'Пр.3 Рд,пр, ЦС,ВР 20'!F180</f>
        <v>0</v>
      </c>
      <c r="G173" s="6">
        <f>'Пр.3 Рд,пр, ЦС,ВР 20'!G180</f>
        <v>0</v>
      </c>
    </row>
    <row r="174" spans="1:7" ht="31.5" hidden="1" x14ac:dyDescent="0.25">
      <c r="A174" s="25" t="s">
        <v>147</v>
      </c>
      <c r="B174" s="20" t="s">
        <v>134</v>
      </c>
      <c r="C174" s="20" t="s">
        <v>156</v>
      </c>
      <c r="D174" s="20" t="s">
        <v>1232</v>
      </c>
      <c r="E174" s="20" t="s">
        <v>148</v>
      </c>
      <c r="F174" s="6">
        <f>'Пр.3 Рд,пр, ЦС,ВР 20'!F181</f>
        <v>0</v>
      </c>
      <c r="G174" s="6">
        <f>'Пр.3 Рд,пр, ЦС,ВР 20'!G181</f>
        <v>0</v>
      </c>
    </row>
    <row r="175" spans="1:7" ht="47.25" hidden="1" x14ac:dyDescent="0.25">
      <c r="A175" s="25" t="s">
        <v>149</v>
      </c>
      <c r="B175" s="20" t="s">
        <v>134</v>
      </c>
      <c r="C175" s="20" t="s">
        <v>156</v>
      </c>
      <c r="D175" s="20" t="s">
        <v>1232</v>
      </c>
      <c r="E175" s="20" t="s">
        <v>150</v>
      </c>
      <c r="F175" s="6">
        <f>'Пр.3 Рд,пр, ЦС,ВР 20'!F182</f>
        <v>0</v>
      </c>
      <c r="G175" s="6">
        <f>'Пр.3 Рд,пр, ЦС,ВР 20'!G182</f>
        <v>0</v>
      </c>
    </row>
    <row r="176" spans="1:7" ht="31.5" x14ac:dyDescent="0.25">
      <c r="A176" s="25" t="s">
        <v>354</v>
      </c>
      <c r="B176" s="20" t="s">
        <v>134</v>
      </c>
      <c r="C176" s="20" t="s">
        <v>156</v>
      </c>
      <c r="D176" s="20" t="s">
        <v>1228</v>
      </c>
      <c r="E176" s="20"/>
      <c r="F176" s="6">
        <f>F177</f>
        <v>25</v>
      </c>
      <c r="G176" s="6">
        <f>G177</f>
        <v>25</v>
      </c>
    </row>
    <row r="177" spans="1:7" ht="31.5" x14ac:dyDescent="0.25">
      <c r="A177" s="25" t="s">
        <v>147</v>
      </c>
      <c r="B177" s="20" t="s">
        <v>134</v>
      </c>
      <c r="C177" s="20" t="s">
        <v>156</v>
      </c>
      <c r="D177" s="20" t="s">
        <v>1228</v>
      </c>
      <c r="E177" s="20" t="s">
        <v>148</v>
      </c>
      <c r="F177" s="6">
        <f>F178</f>
        <v>25</v>
      </c>
      <c r="G177" s="6">
        <f>G178</f>
        <v>25</v>
      </c>
    </row>
    <row r="178" spans="1:7" ht="47.25" x14ac:dyDescent="0.25">
      <c r="A178" s="25" t="s">
        <v>149</v>
      </c>
      <c r="B178" s="20" t="s">
        <v>134</v>
      </c>
      <c r="C178" s="20" t="s">
        <v>156</v>
      </c>
      <c r="D178" s="20" t="s">
        <v>1228</v>
      </c>
      <c r="E178" s="20" t="s">
        <v>150</v>
      </c>
      <c r="F178" s="6">
        <f>'пр.5.1.ведом.21-22'!G233</f>
        <v>25</v>
      </c>
      <c r="G178" s="6">
        <f>'пр.5.1.ведом.21-22'!H233</f>
        <v>25</v>
      </c>
    </row>
    <row r="179" spans="1:7" ht="63" x14ac:dyDescent="0.25">
      <c r="A179" s="31" t="s">
        <v>794</v>
      </c>
      <c r="B179" s="20" t="s">
        <v>134</v>
      </c>
      <c r="C179" s="20" t="s">
        <v>156</v>
      </c>
      <c r="D179" s="20" t="s">
        <v>1229</v>
      </c>
      <c r="E179" s="20"/>
      <c r="F179" s="6">
        <f>F180</f>
        <v>10</v>
      </c>
      <c r="G179" s="6">
        <f>G180</f>
        <v>10</v>
      </c>
    </row>
    <row r="180" spans="1:7" ht="31.5" x14ac:dyDescent="0.25">
      <c r="A180" s="25" t="s">
        <v>147</v>
      </c>
      <c r="B180" s="20" t="s">
        <v>134</v>
      </c>
      <c r="C180" s="20" t="s">
        <v>156</v>
      </c>
      <c r="D180" s="20" t="s">
        <v>1229</v>
      </c>
      <c r="E180" s="20" t="s">
        <v>148</v>
      </c>
      <c r="F180" s="6">
        <f>F181</f>
        <v>10</v>
      </c>
      <c r="G180" s="6">
        <f>G181</f>
        <v>10</v>
      </c>
    </row>
    <row r="181" spans="1:7" ht="47.25" x14ac:dyDescent="0.25">
      <c r="A181" s="25" t="s">
        <v>149</v>
      </c>
      <c r="B181" s="20" t="s">
        <v>134</v>
      </c>
      <c r="C181" s="20" t="s">
        <v>156</v>
      </c>
      <c r="D181" s="20" t="s">
        <v>1229</v>
      </c>
      <c r="E181" s="20" t="s">
        <v>150</v>
      </c>
      <c r="F181" s="6">
        <f>'пр.5.1.ведом.21-22'!G236</f>
        <v>10</v>
      </c>
      <c r="G181" s="6">
        <f>'пр.5.1.ведом.21-22'!H236</f>
        <v>10</v>
      </c>
    </row>
    <row r="182" spans="1:7" ht="31.5" x14ac:dyDescent="0.25">
      <c r="A182" s="25" t="s">
        <v>1144</v>
      </c>
      <c r="B182" s="20" t="s">
        <v>134</v>
      </c>
      <c r="C182" s="20" t="s">
        <v>156</v>
      </c>
      <c r="D182" s="20" t="s">
        <v>1230</v>
      </c>
      <c r="E182" s="20"/>
      <c r="F182" s="6">
        <f>F183</f>
        <v>0</v>
      </c>
      <c r="G182" s="6">
        <f>G183</f>
        <v>0</v>
      </c>
    </row>
    <row r="183" spans="1:7" ht="31.5" x14ac:dyDescent="0.25">
      <c r="A183" s="25" t="s">
        <v>147</v>
      </c>
      <c r="B183" s="20" t="s">
        <v>134</v>
      </c>
      <c r="C183" s="20" t="s">
        <v>156</v>
      </c>
      <c r="D183" s="20" t="s">
        <v>1230</v>
      </c>
      <c r="E183" s="20" t="s">
        <v>148</v>
      </c>
      <c r="F183" s="6">
        <f>F184</f>
        <v>0</v>
      </c>
      <c r="G183" s="6">
        <f>G184</f>
        <v>0</v>
      </c>
    </row>
    <row r="184" spans="1:7" ht="47.25" x14ac:dyDescent="0.25">
      <c r="A184" s="25" t="s">
        <v>149</v>
      </c>
      <c r="B184" s="20" t="s">
        <v>134</v>
      </c>
      <c r="C184" s="20" t="s">
        <v>156</v>
      </c>
      <c r="D184" s="20" t="s">
        <v>1230</v>
      </c>
      <c r="E184" s="20" t="s">
        <v>150</v>
      </c>
      <c r="F184" s="6">
        <f>'пр.5.1.ведом.21-22'!G239</f>
        <v>0</v>
      </c>
      <c r="G184" s="6">
        <f>'пр.5.1.ведом.21-22'!H239</f>
        <v>0</v>
      </c>
    </row>
    <row r="185" spans="1:7" ht="31.5" hidden="1" x14ac:dyDescent="0.25">
      <c r="A185" s="31" t="s">
        <v>1259</v>
      </c>
      <c r="B185" s="20" t="s">
        <v>134</v>
      </c>
      <c r="C185" s="20" t="s">
        <v>156</v>
      </c>
      <c r="D185" s="20" t="s">
        <v>1260</v>
      </c>
      <c r="E185" s="20"/>
      <c r="F185" s="6">
        <f>'Пр.3 Рд,пр, ЦС,ВР 20'!F192</f>
        <v>0</v>
      </c>
      <c r="G185" s="6">
        <f>'Пр.3 Рд,пр, ЦС,ВР 20'!G192</f>
        <v>0</v>
      </c>
    </row>
    <row r="186" spans="1:7" ht="31.5" hidden="1" x14ac:dyDescent="0.25">
      <c r="A186" s="25" t="s">
        <v>147</v>
      </c>
      <c r="B186" s="20" t="s">
        <v>134</v>
      </c>
      <c r="C186" s="20" t="s">
        <v>156</v>
      </c>
      <c r="D186" s="20" t="s">
        <v>1260</v>
      </c>
      <c r="E186" s="20" t="s">
        <v>148</v>
      </c>
      <c r="F186" s="6">
        <f>'Пр.3 Рд,пр, ЦС,ВР 20'!F193</f>
        <v>0</v>
      </c>
      <c r="G186" s="6">
        <f>'Пр.3 Рд,пр, ЦС,ВР 20'!G193</f>
        <v>0</v>
      </c>
    </row>
    <row r="187" spans="1:7" ht="47.25" hidden="1" x14ac:dyDescent="0.25">
      <c r="A187" s="25" t="s">
        <v>149</v>
      </c>
      <c r="B187" s="20" t="s">
        <v>134</v>
      </c>
      <c r="C187" s="20" t="s">
        <v>156</v>
      </c>
      <c r="D187" s="20" t="s">
        <v>1260</v>
      </c>
      <c r="E187" s="20" t="s">
        <v>150</v>
      </c>
      <c r="F187" s="6">
        <f>'Пр.3 Рд,пр, ЦС,ВР 20'!F194</f>
        <v>0</v>
      </c>
      <c r="G187" s="6">
        <f>'Пр.3 Рд,пр, ЦС,ВР 20'!G194</f>
        <v>0</v>
      </c>
    </row>
    <row r="188" spans="1:7" ht="31.5" x14ac:dyDescent="0.25">
      <c r="A188" s="31" t="s">
        <v>795</v>
      </c>
      <c r="B188" s="20" t="s">
        <v>134</v>
      </c>
      <c r="C188" s="20" t="s">
        <v>156</v>
      </c>
      <c r="D188" s="20" t="s">
        <v>1231</v>
      </c>
      <c r="E188" s="20"/>
      <c r="F188" s="6">
        <f>F189</f>
        <v>20</v>
      </c>
      <c r="G188" s="6">
        <f>G189</f>
        <v>20</v>
      </c>
    </row>
    <row r="189" spans="1:7" ht="31.5" x14ac:dyDescent="0.25">
      <c r="A189" s="25" t="s">
        <v>147</v>
      </c>
      <c r="B189" s="20" t="s">
        <v>134</v>
      </c>
      <c r="C189" s="20" t="s">
        <v>156</v>
      </c>
      <c r="D189" s="20" t="s">
        <v>1231</v>
      </c>
      <c r="E189" s="20" t="s">
        <v>148</v>
      </c>
      <c r="F189" s="6">
        <f>F190</f>
        <v>20</v>
      </c>
      <c r="G189" s="6">
        <f>G190</f>
        <v>20</v>
      </c>
    </row>
    <row r="190" spans="1:7" ht="47.25" x14ac:dyDescent="0.25">
      <c r="A190" s="25" t="s">
        <v>149</v>
      </c>
      <c r="B190" s="20" t="s">
        <v>134</v>
      </c>
      <c r="C190" s="20" t="s">
        <v>156</v>
      </c>
      <c r="D190" s="20" t="s">
        <v>1231</v>
      </c>
      <c r="E190" s="20" t="s">
        <v>150</v>
      </c>
      <c r="F190" s="6">
        <f>'пр.5.1.ведом.21-22'!G242</f>
        <v>20</v>
      </c>
      <c r="G190" s="6">
        <f>'пр.5.1.ведом.21-22'!H242</f>
        <v>20</v>
      </c>
    </row>
    <row r="191" spans="1:7" ht="78.75" x14ac:dyDescent="0.25">
      <c r="A191" s="41" t="s">
        <v>1425</v>
      </c>
      <c r="B191" s="8" t="s">
        <v>134</v>
      </c>
      <c r="C191" s="8" t="s">
        <v>156</v>
      </c>
      <c r="D191" s="24" t="s">
        <v>728</v>
      </c>
      <c r="E191" s="235"/>
      <c r="F191" s="59">
        <f>F192+F196</f>
        <v>45</v>
      </c>
      <c r="G191" s="59">
        <f>G192+G196</f>
        <v>45</v>
      </c>
    </row>
    <row r="192" spans="1:7" ht="63" x14ac:dyDescent="0.25">
      <c r="A192" s="223" t="s">
        <v>892</v>
      </c>
      <c r="B192" s="24" t="s">
        <v>134</v>
      </c>
      <c r="C192" s="24" t="s">
        <v>156</v>
      </c>
      <c r="D192" s="24" t="s">
        <v>898</v>
      </c>
      <c r="E192" s="24"/>
      <c r="F192" s="59">
        <f>F193</f>
        <v>30</v>
      </c>
      <c r="G192" s="59">
        <f>G193</f>
        <v>30</v>
      </c>
    </row>
    <row r="193" spans="1:7" ht="47.25" x14ac:dyDescent="0.25">
      <c r="A193" s="99" t="s">
        <v>799</v>
      </c>
      <c r="B193" s="20" t="s">
        <v>134</v>
      </c>
      <c r="C193" s="20" t="s">
        <v>156</v>
      </c>
      <c r="D193" s="20" t="s">
        <v>893</v>
      </c>
      <c r="E193" s="20"/>
      <c r="F193" s="6">
        <f>F194</f>
        <v>30</v>
      </c>
      <c r="G193" s="6">
        <f>G194</f>
        <v>30</v>
      </c>
    </row>
    <row r="194" spans="1:7" ht="36.75" customHeight="1" x14ac:dyDescent="0.25">
      <c r="A194" s="25" t="s">
        <v>147</v>
      </c>
      <c r="B194" s="20" t="s">
        <v>134</v>
      </c>
      <c r="C194" s="20" t="s">
        <v>156</v>
      </c>
      <c r="D194" s="20" t="s">
        <v>893</v>
      </c>
      <c r="E194" s="20" t="s">
        <v>148</v>
      </c>
      <c r="F194" s="6">
        <f>F195</f>
        <v>30</v>
      </c>
      <c r="G194" s="6">
        <f t="shared" si="7"/>
        <v>30</v>
      </c>
    </row>
    <row r="195" spans="1:7" ht="47.25" x14ac:dyDescent="0.25">
      <c r="A195" s="25" t="s">
        <v>149</v>
      </c>
      <c r="B195" s="20" t="s">
        <v>134</v>
      </c>
      <c r="C195" s="20" t="s">
        <v>156</v>
      </c>
      <c r="D195" s="20" t="s">
        <v>893</v>
      </c>
      <c r="E195" s="20" t="s">
        <v>150</v>
      </c>
      <c r="F195" s="6">
        <f>'пр.5.1.ведом.21-22'!G119+'пр.5.1.ведом.21-22'!G247</f>
        <v>30</v>
      </c>
      <c r="G195" s="6">
        <f>'пр.5.1.ведом.21-22'!H119+'пр.5.1.ведом.21-22'!H247</f>
        <v>30</v>
      </c>
    </row>
    <row r="196" spans="1:7" ht="47.25" x14ac:dyDescent="0.25">
      <c r="A196" s="224" t="s">
        <v>1188</v>
      </c>
      <c r="B196" s="24" t="s">
        <v>134</v>
      </c>
      <c r="C196" s="24" t="s">
        <v>156</v>
      </c>
      <c r="D196" s="24" t="s">
        <v>899</v>
      </c>
      <c r="E196" s="235"/>
      <c r="F196" s="59">
        <f t="shared" ref="F196:G198" si="8">F197</f>
        <v>15</v>
      </c>
      <c r="G196" s="59">
        <f t="shared" si="8"/>
        <v>15</v>
      </c>
    </row>
    <row r="197" spans="1:7" ht="47.25" x14ac:dyDescent="0.25">
      <c r="A197" s="99" t="s">
        <v>800</v>
      </c>
      <c r="B197" s="20" t="s">
        <v>134</v>
      </c>
      <c r="C197" s="20" t="s">
        <v>156</v>
      </c>
      <c r="D197" s="20" t="s">
        <v>894</v>
      </c>
      <c r="E197" s="32"/>
      <c r="F197" s="6">
        <f t="shared" si="8"/>
        <v>15</v>
      </c>
      <c r="G197" s="6">
        <f t="shared" si="8"/>
        <v>15</v>
      </c>
    </row>
    <row r="198" spans="1:7" ht="31.5" x14ac:dyDescent="0.25">
      <c r="A198" s="25" t="s">
        <v>147</v>
      </c>
      <c r="B198" s="20" t="s">
        <v>134</v>
      </c>
      <c r="C198" s="20" t="s">
        <v>156</v>
      </c>
      <c r="D198" s="20" t="s">
        <v>894</v>
      </c>
      <c r="E198" s="32" t="s">
        <v>148</v>
      </c>
      <c r="F198" s="6">
        <f t="shared" si="8"/>
        <v>15</v>
      </c>
      <c r="G198" s="6">
        <f t="shared" si="8"/>
        <v>15</v>
      </c>
    </row>
    <row r="199" spans="1:7" ht="47.25" x14ac:dyDescent="0.25">
      <c r="A199" s="25" t="s">
        <v>149</v>
      </c>
      <c r="B199" s="20" t="s">
        <v>134</v>
      </c>
      <c r="C199" s="20" t="s">
        <v>156</v>
      </c>
      <c r="D199" s="20" t="s">
        <v>894</v>
      </c>
      <c r="E199" s="32" t="s">
        <v>150</v>
      </c>
      <c r="F199" s="6">
        <f>'пр.5.1.ведом.21-22'!G123</f>
        <v>15</v>
      </c>
      <c r="G199" s="6">
        <f>'пр.5.1.ведом.21-22'!H123</f>
        <v>15</v>
      </c>
    </row>
    <row r="200" spans="1:7" ht="94.5" x14ac:dyDescent="0.25">
      <c r="A200" s="229" t="s">
        <v>1429</v>
      </c>
      <c r="B200" s="24" t="s">
        <v>134</v>
      </c>
      <c r="C200" s="24" t="s">
        <v>156</v>
      </c>
      <c r="D200" s="24" t="s">
        <v>806</v>
      </c>
      <c r="E200" s="235"/>
      <c r="F200" s="59">
        <f>F202</f>
        <v>3266.2200000000003</v>
      </c>
      <c r="G200" s="59">
        <f>G202</f>
        <v>239.82000000000016</v>
      </c>
    </row>
    <row r="201" spans="1:7" ht="31.5" x14ac:dyDescent="0.25">
      <c r="A201" s="23" t="s">
        <v>1003</v>
      </c>
      <c r="B201" s="24" t="s">
        <v>134</v>
      </c>
      <c r="C201" s="24" t="s">
        <v>156</v>
      </c>
      <c r="D201" s="24" t="s">
        <v>1182</v>
      </c>
      <c r="E201" s="235"/>
      <c r="F201" s="59">
        <f t="shared" ref="F201:G203" si="9">F202</f>
        <v>3266.2200000000003</v>
      </c>
      <c r="G201" s="59">
        <f t="shared" si="9"/>
        <v>239.82000000000016</v>
      </c>
    </row>
    <row r="202" spans="1:7" ht="47.25" x14ac:dyDescent="0.25">
      <c r="A202" s="192" t="s">
        <v>816</v>
      </c>
      <c r="B202" s="20" t="s">
        <v>134</v>
      </c>
      <c r="C202" s="20" t="s">
        <v>156</v>
      </c>
      <c r="D202" s="20" t="s">
        <v>1183</v>
      </c>
      <c r="E202" s="32"/>
      <c r="F202" s="6">
        <f t="shared" si="9"/>
        <v>3266.2200000000003</v>
      </c>
      <c r="G202" s="6">
        <f t="shared" si="9"/>
        <v>239.82000000000016</v>
      </c>
    </row>
    <row r="203" spans="1:7" ht="31.5" x14ac:dyDescent="0.25">
      <c r="A203" s="192" t="s">
        <v>147</v>
      </c>
      <c r="B203" s="20" t="s">
        <v>134</v>
      </c>
      <c r="C203" s="20" t="s">
        <v>156</v>
      </c>
      <c r="D203" s="20" t="s">
        <v>1183</v>
      </c>
      <c r="E203" s="32" t="s">
        <v>148</v>
      </c>
      <c r="F203" s="6">
        <f t="shared" si="9"/>
        <v>3266.2200000000003</v>
      </c>
      <c r="G203" s="6">
        <f t="shared" si="9"/>
        <v>239.82000000000016</v>
      </c>
    </row>
    <row r="204" spans="1:7" ht="47.25" x14ac:dyDescent="0.25">
      <c r="A204" s="192" t="s">
        <v>149</v>
      </c>
      <c r="B204" s="20" t="s">
        <v>134</v>
      </c>
      <c r="C204" s="20" t="s">
        <v>156</v>
      </c>
      <c r="D204" s="20" t="s">
        <v>1183</v>
      </c>
      <c r="E204" s="32" t="s">
        <v>150</v>
      </c>
      <c r="F204" s="6">
        <f>'пр.5.1.ведом.21-22'!G524</f>
        <v>3266.2200000000003</v>
      </c>
      <c r="G204" s="6">
        <f>'пр.5.1.ведом.21-22'!H524</f>
        <v>239.82000000000016</v>
      </c>
    </row>
    <row r="205" spans="1:7" ht="94.5" x14ac:dyDescent="0.25">
      <c r="A205" s="41" t="s">
        <v>1420</v>
      </c>
      <c r="B205" s="8" t="s">
        <v>134</v>
      </c>
      <c r="C205" s="8" t="s">
        <v>156</v>
      </c>
      <c r="D205" s="259" t="s">
        <v>861</v>
      </c>
      <c r="E205" s="8"/>
      <c r="F205" s="59">
        <f t="shared" ref="F205:F208" si="10">F206</f>
        <v>40</v>
      </c>
      <c r="G205" s="59">
        <f>G206</f>
        <v>40</v>
      </c>
    </row>
    <row r="206" spans="1:7" ht="47.25" x14ac:dyDescent="0.25">
      <c r="A206" s="225" t="s">
        <v>900</v>
      </c>
      <c r="B206" s="8" t="s">
        <v>134</v>
      </c>
      <c r="C206" s="8" t="s">
        <v>156</v>
      </c>
      <c r="D206" s="207" t="s">
        <v>1262</v>
      </c>
      <c r="E206" s="8"/>
      <c r="F206" s="59">
        <f t="shared" si="10"/>
        <v>40</v>
      </c>
      <c r="G206" s="59">
        <f>G207</f>
        <v>40</v>
      </c>
    </row>
    <row r="207" spans="1:7" ht="47.25" x14ac:dyDescent="0.25">
      <c r="A207" s="98" t="s">
        <v>187</v>
      </c>
      <c r="B207" s="9" t="s">
        <v>134</v>
      </c>
      <c r="C207" s="9" t="s">
        <v>156</v>
      </c>
      <c r="D207" s="5" t="s">
        <v>901</v>
      </c>
      <c r="E207" s="9"/>
      <c r="F207" s="6">
        <f t="shared" si="10"/>
        <v>40</v>
      </c>
      <c r="G207" s="6">
        <f>G208</f>
        <v>40</v>
      </c>
    </row>
    <row r="208" spans="1:7" ht="31.5" x14ac:dyDescent="0.25">
      <c r="A208" s="25" t="s">
        <v>147</v>
      </c>
      <c r="B208" s="9" t="s">
        <v>134</v>
      </c>
      <c r="C208" s="9" t="s">
        <v>156</v>
      </c>
      <c r="D208" s="5" t="s">
        <v>901</v>
      </c>
      <c r="E208" s="9" t="s">
        <v>148</v>
      </c>
      <c r="F208" s="6">
        <f t="shared" si="10"/>
        <v>40</v>
      </c>
      <c r="G208" s="6">
        <f>G209</f>
        <v>40</v>
      </c>
    </row>
    <row r="209" spans="1:7" ht="47.25" x14ac:dyDescent="0.25">
      <c r="A209" s="25" t="s">
        <v>149</v>
      </c>
      <c r="B209" s="9" t="s">
        <v>134</v>
      </c>
      <c r="C209" s="9" t="s">
        <v>156</v>
      </c>
      <c r="D209" s="5" t="s">
        <v>901</v>
      </c>
      <c r="E209" s="9" t="s">
        <v>150</v>
      </c>
      <c r="F209" s="6">
        <f>'пр.5.1.ведом.21-22'!G128</f>
        <v>40</v>
      </c>
      <c r="G209" s="6">
        <f>'пр.5.1.ведом.21-22'!H128</f>
        <v>40</v>
      </c>
    </row>
    <row r="210" spans="1:7" ht="94.5" x14ac:dyDescent="0.25">
      <c r="A210" s="41" t="s">
        <v>1419</v>
      </c>
      <c r="B210" s="8" t="s">
        <v>134</v>
      </c>
      <c r="C210" s="8" t="s">
        <v>156</v>
      </c>
      <c r="D210" s="207" t="s">
        <v>862</v>
      </c>
      <c r="E210" s="8"/>
      <c r="F210" s="4">
        <f>F211</f>
        <v>100</v>
      </c>
      <c r="G210" s="4">
        <f>G211</f>
        <v>100</v>
      </c>
    </row>
    <row r="211" spans="1:7" ht="31.5" x14ac:dyDescent="0.25">
      <c r="A211" s="58" t="s">
        <v>902</v>
      </c>
      <c r="B211" s="8" t="s">
        <v>134</v>
      </c>
      <c r="C211" s="8" t="s">
        <v>156</v>
      </c>
      <c r="D211" s="207" t="s">
        <v>910</v>
      </c>
      <c r="E211" s="8"/>
      <c r="F211" s="4">
        <f t="shared" ref="F211:G211" si="11">F212</f>
        <v>100</v>
      </c>
      <c r="G211" s="4">
        <f t="shared" si="11"/>
        <v>100</v>
      </c>
    </row>
    <row r="212" spans="1:7" ht="31.5" x14ac:dyDescent="0.25">
      <c r="A212" s="45" t="s">
        <v>867</v>
      </c>
      <c r="B212" s="9" t="s">
        <v>134</v>
      </c>
      <c r="C212" s="9" t="s">
        <v>156</v>
      </c>
      <c r="D212" s="5" t="s">
        <v>903</v>
      </c>
      <c r="E212" s="9"/>
      <c r="F212" s="6">
        <f>F213</f>
        <v>100</v>
      </c>
      <c r="G212" s="6">
        <f t="shared" si="7"/>
        <v>100</v>
      </c>
    </row>
    <row r="213" spans="1:7" ht="31.5" x14ac:dyDescent="0.25">
      <c r="A213" s="25" t="s">
        <v>147</v>
      </c>
      <c r="B213" s="9" t="s">
        <v>134</v>
      </c>
      <c r="C213" s="9" t="s">
        <v>156</v>
      </c>
      <c r="D213" s="5" t="s">
        <v>903</v>
      </c>
      <c r="E213" s="9" t="s">
        <v>148</v>
      </c>
      <c r="F213" s="6">
        <f>F214</f>
        <v>100</v>
      </c>
      <c r="G213" s="6">
        <f t="shared" ref="G213:G272" si="12">F213</f>
        <v>100</v>
      </c>
    </row>
    <row r="214" spans="1:7" ht="47.25" x14ac:dyDescent="0.25">
      <c r="A214" s="25" t="s">
        <v>149</v>
      </c>
      <c r="B214" s="9" t="s">
        <v>134</v>
      </c>
      <c r="C214" s="9" t="s">
        <v>156</v>
      </c>
      <c r="D214" s="5" t="s">
        <v>903</v>
      </c>
      <c r="E214" s="9" t="s">
        <v>150</v>
      </c>
      <c r="F214" s="6">
        <f>'пр.5.1.ведом.21-22'!G133</f>
        <v>100</v>
      </c>
      <c r="G214" s="6">
        <f>'пр.5.1.ведом.21-22'!H133</f>
        <v>100</v>
      </c>
    </row>
    <row r="215" spans="1:7" ht="15.75" hidden="1" x14ac:dyDescent="0.25">
      <c r="A215" s="23" t="s">
        <v>228</v>
      </c>
      <c r="B215" s="24" t="s">
        <v>229</v>
      </c>
      <c r="C215" s="24"/>
      <c r="D215" s="24"/>
      <c r="E215" s="24"/>
      <c r="F215" s="4">
        <f t="shared" ref="F215:G218" si="13">F216</f>
        <v>0</v>
      </c>
      <c r="G215" s="4">
        <f t="shared" si="13"/>
        <v>0</v>
      </c>
    </row>
    <row r="216" spans="1:7" ht="31.5" hidden="1" x14ac:dyDescent="0.25">
      <c r="A216" s="23" t="s">
        <v>234</v>
      </c>
      <c r="B216" s="24" t="s">
        <v>229</v>
      </c>
      <c r="C216" s="24" t="s">
        <v>235</v>
      </c>
      <c r="D216" s="24"/>
      <c r="E216" s="24"/>
      <c r="F216" s="4">
        <f t="shared" si="13"/>
        <v>0</v>
      </c>
      <c r="G216" s="4">
        <f t="shared" si="13"/>
        <v>0</v>
      </c>
    </row>
    <row r="217" spans="1:7" ht="15.75" hidden="1" x14ac:dyDescent="0.25">
      <c r="A217" s="23" t="s">
        <v>157</v>
      </c>
      <c r="B217" s="24" t="s">
        <v>229</v>
      </c>
      <c r="C217" s="24" t="s">
        <v>235</v>
      </c>
      <c r="D217" s="24" t="s">
        <v>912</v>
      </c>
      <c r="E217" s="24"/>
      <c r="F217" s="4">
        <f t="shared" si="13"/>
        <v>0</v>
      </c>
      <c r="G217" s="4">
        <f t="shared" si="13"/>
        <v>0</v>
      </c>
    </row>
    <row r="218" spans="1:7" ht="31.5" hidden="1" x14ac:dyDescent="0.25">
      <c r="A218" s="23" t="s">
        <v>916</v>
      </c>
      <c r="B218" s="24" t="s">
        <v>229</v>
      </c>
      <c r="C218" s="24" t="s">
        <v>235</v>
      </c>
      <c r="D218" s="24" t="s">
        <v>911</v>
      </c>
      <c r="E218" s="24"/>
      <c r="F218" s="4">
        <f t="shared" si="13"/>
        <v>0</v>
      </c>
      <c r="G218" s="4">
        <f t="shared" si="13"/>
        <v>0</v>
      </c>
    </row>
    <row r="219" spans="1:7" ht="31.5" hidden="1" x14ac:dyDescent="0.25">
      <c r="A219" s="25" t="s">
        <v>236</v>
      </c>
      <c r="B219" s="20" t="s">
        <v>229</v>
      </c>
      <c r="C219" s="20" t="s">
        <v>235</v>
      </c>
      <c r="D219" s="20" t="s">
        <v>917</v>
      </c>
      <c r="E219" s="20"/>
      <c r="F219" s="6">
        <f>'Пр.3 Рд,пр, ЦС,ВР 20'!F226</f>
        <v>0</v>
      </c>
      <c r="G219" s="6">
        <f t="shared" si="12"/>
        <v>0</v>
      </c>
    </row>
    <row r="220" spans="1:7" ht="47.25" hidden="1" x14ac:dyDescent="0.25">
      <c r="A220" s="25" t="s">
        <v>214</v>
      </c>
      <c r="B220" s="20" t="s">
        <v>229</v>
      </c>
      <c r="C220" s="20" t="s">
        <v>235</v>
      </c>
      <c r="D220" s="20" t="s">
        <v>917</v>
      </c>
      <c r="E220" s="20" t="s">
        <v>148</v>
      </c>
      <c r="F220" s="6">
        <f>'Пр.3 Рд,пр, ЦС,ВР 20'!F227</f>
        <v>0</v>
      </c>
      <c r="G220" s="6">
        <f t="shared" si="12"/>
        <v>0</v>
      </c>
    </row>
    <row r="221" spans="1:7" ht="47.25" hidden="1" x14ac:dyDescent="0.25">
      <c r="A221" s="25" t="s">
        <v>149</v>
      </c>
      <c r="B221" s="20" t="s">
        <v>229</v>
      </c>
      <c r="C221" s="20" t="s">
        <v>235</v>
      </c>
      <c r="D221" s="20" t="s">
        <v>917</v>
      </c>
      <c r="E221" s="20" t="s">
        <v>150</v>
      </c>
      <c r="F221" s="6">
        <f>'Пр.3 Рд,пр, ЦС,ВР 20'!F228</f>
        <v>0</v>
      </c>
      <c r="G221" s="6">
        <f t="shared" si="12"/>
        <v>0</v>
      </c>
    </row>
    <row r="222" spans="1:7" ht="31.5" x14ac:dyDescent="0.25">
      <c r="A222" s="23" t="s">
        <v>238</v>
      </c>
      <c r="B222" s="24" t="s">
        <v>231</v>
      </c>
      <c r="C222" s="24"/>
      <c r="D222" s="24"/>
      <c r="E222" s="24"/>
      <c r="F222" s="4">
        <f t="shared" ref="F222:G223" si="14">F223</f>
        <v>8029</v>
      </c>
      <c r="G222" s="4">
        <f t="shared" si="14"/>
        <v>8029</v>
      </c>
    </row>
    <row r="223" spans="1:7" ht="63" x14ac:dyDescent="0.25">
      <c r="A223" s="23" t="s">
        <v>239</v>
      </c>
      <c r="B223" s="24" t="s">
        <v>231</v>
      </c>
      <c r="C223" s="24" t="s">
        <v>235</v>
      </c>
      <c r="D223" s="20"/>
      <c r="E223" s="20"/>
      <c r="F223" s="4">
        <f t="shared" si="14"/>
        <v>8029</v>
      </c>
      <c r="G223" s="4">
        <f t="shared" si="14"/>
        <v>8029</v>
      </c>
    </row>
    <row r="224" spans="1:7" ht="15.75" x14ac:dyDescent="0.25">
      <c r="A224" s="23" t="s">
        <v>157</v>
      </c>
      <c r="B224" s="24" t="s">
        <v>231</v>
      </c>
      <c r="C224" s="24" t="s">
        <v>235</v>
      </c>
      <c r="D224" s="24" t="s">
        <v>912</v>
      </c>
      <c r="E224" s="24"/>
      <c r="F224" s="4">
        <f>F225+F232</f>
        <v>8029</v>
      </c>
      <c r="G224" s="4">
        <f>G225+G232</f>
        <v>8029</v>
      </c>
    </row>
    <row r="225" spans="1:7" ht="31.5" x14ac:dyDescent="0.25">
      <c r="A225" s="23" t="s">
        <v>916</v>
      </c>
      <c r="B225" s="24" t="s">
        <v>231</v>
      </c>
      <c r="C225" s="24" t="s">
        <v>235</v>
      </c>
      <c r="D225" s="24" t="s">
        <v>911</v>
      </c>
      <c r="E225" s="24"/>
      <c r="F225" s="4">
        <f>F226+F229</f>
        <v>2089</v>
      </c>
      <c r="G225" s="4">
        <f>G226+G229</f>
        <v>2089</v>
      </c>
    </row>
    <row r="226" spans="1:7" ht="47.25" x14ac:dyDescent="0.25">
      <c r="A226" s="25" t="s">
        <v>240</v>
      </c>
      <c r="B226" s="20" t="s">
        <v>231</v>
      </c>
      <c r="C226" s="20" t="s">
        <v>235</v>
      </c>
      <c r="D226" s="20" t="s">
        <v>921</v>
      </c>
      <c r="E226" s="20"/>
      <c r="F226" s="6">
        <f>F227</f>
        <v>1785</v>
      </c>
      <c r="G226" s="6">
        <f>G227</f>
        <v>1785</v>
      </c>
    </row>
    <row r="227" spans="1:7" ht="47.25" x14ac:dyDescent="0.25">
      <c r="A227" s="25" t="s">
        <v>214</v>
      </c>
      <c r="B227" s="20" t="s">
        <v>231</v>
      </c>
      <c r="C227" s="20" t="s">
        <v>235</v>
      </c>
      <c r="D227" s="20" t="s">
        <v>921</v>
      </c>
      <c r="E227" s="20" t="s">
        <v>148</v>
      </c>
      <c r="F227" s="6">
        <f>F228</f>
        <v>1785</v>
      </c>
      <c r="G227" s="6">
        <f>G228</f>
        <v>1785</v>
      </c>
    </row>
    <row r="228" spans="1:7" ht="47.25" x14ac:dyDescent="0.25">
      <c r="A228" s="25" t="s">
        <v>149</v>
      </c>
      <c r="B228" s="20" t="s">
        <v>231</v>
      </c>
      <c r="C228" s="20" t="s">
        <v>235</v>
      </c>
      <c r="D228" s="20" t="s">
        <v>921</v>
      </c>
      <c r="E228" s="20" t="s">
        <v>150</v>
      </c>
      <c r="F228" s="6">
        <f>'пр.5.1.ведом.21-22'!G147</f>
        <v>1785</v>
      </c>
      <c r="G228" s="6">
        <f>'пр.5.1.ведом.21-22'!H147</f>
        <v>1785</v>
      </c>
    </row>
    <row r="229" spans="1:7" ht="15.75" x14ac:dyDescent="0.25">
      <c r="A229" s="25" t="s">
        <v>246</v>
      </c>
      <c r="B229" s="20" t="s">
        <v>231</v>
      </c>
      <c r="C229" s="20" t="s">
        <v>235</v>
      </c>
      <c r="D229" s="20" t="s">
        <v>922</v>
      </c>
      <c r="E229" s="20"/>
      <c r="F229" s="6">
        <f>F230</f>
        <v>304</v>
      </c>
      <c r="G229" s="6">
        <f>G230</f>
        <v>304</v>
      </c>
    </row>
    <row r="230" spans="1:7" ht="47.25" x14ac:dyDescent="0.25">
      <c r="A230" s="25" t="s">
        <v>214</v>
      </c>
      <c r="B230" s="20" t="s">
        <v>231</v>
      </c>
      <c r="C230" s="20" t="s">
        <v>235</v>
      </c>
      <c r="D230" s="20" t="s">
        <v>922</v>
      </c>
      <c r="E230" s="20" t="s">
        <v>148</v>
      </c>
      <c r="F230" s="6">
        <f>F231</f>
        <v>304</v>
      </c>
      <c r="G230" s="6">
        <f>G231</f>
        <v>304</v>
      </c>
    </row>
    <row r="231" spans="1:7" ht="47.25" x14ac:dyDescent="0.25">
      <c r="A231" s="25" t="s">
        <v>149</v>
      </c>
      <c r="B231" s="20" t="s">
        <v>231</v>
      </c>
      <c r="C231" s="20" t="s">
        <v>235</v>
      </c>
      <c r="D231" s="20" t="s">
        <v>922</v>
      </c>
      <c r="E231" s="20" t="s">
        <v>150</v>
      </c>
      <c r="F231" s="6">
        <f>'пр.5.1.ведом.21-22'!G150+'пр.5.1.ведом.21-22'!G871</f>
        <v>304</v>
      </c>
      <c r="G231" s="6">
        <f>'пр.5.1.ведом.21-22'!H150+'пр.5.1.ведом.21-22'!H871</f>
        <v>304</v>
      </c>
    </row>
    <row r="232" spans="1:7" ht="47.25" x14ac:dyDescent="0.25">
      <c r="A232" s="23" t="s">
        <v>996</v>
      </c>
      <c r="B232" s="24" t="s">
        <v>231</v>
      </c>
      <c r="C232" s="24" t="s">
        <v>235</v>
      </c>
      <c r="D232" s="24" t="s">
        <v>918</v>
      </c>
      <c r="E232" s="24"/>
      <c r="F232" s="4">
        <f>F233+F238</f>
        <v>5940</v>
      </c>
      <c r="G232" s="4">
        <f>G233+G238</f>
        <v>5940</v>
      </c>
    </row>
    <row r="233" spans="1:7" ht="31.5" x14ac:dyDescent="0.25">
      <c r="A233" s="25" t="s">
        <v>1000</v>
      </c>
      <c r="B233" s="20" t="s">
        <v>231</v>
      </c>
      <c r="C233" s="20" t="s">
        <v>235</v>
      </c>
      <c r="D233" s="20" t="s">
        <v>919</v>
      </c>
      <c r="E233" s="20"/>
      <c r="F233" s="6">
        <f>F234+F236</f>
        <v>5688</v>
      </c>
      <c r="G233" s="6">
        <f>G234+G236</f>
        <v>5688</v>
      </c>
    </row>
    <row r="234" spans="1:7" ht="94.5" x14ac:dyDescent="0.25">
      <c r="A234" s="25" t="s">
        <v>143</v>
      </c>
      <c r="B234" s="20" t="s">
        <v>231</v>
      </c>
      <c r="C234" s="20" t="s">
        <v>235</v>
      </c>
      <c r="D234" s="20" t="s">
        <v>919</v>
      </c>
      <c r="E234" s="20" t="s">
        <v>144</v>
      </c>
      <c r="F234" s="6">
        <f>F235</f>
        <v>5525</v>
      </c>
      <c r="G234" s="6">
        <f>G235</f>
        <v>5525</v>
      </c>
    </row>
    <row r="235" spans="1:7" ht="31.5" x14ac:dyDescent="0.25">
      <c r="A235" s="25" t="s">
        <v>224</v>
      </c>
      <c r="B235" s="20" t="s">
        <v>231</v>
      </c>
      <c r="C235" s="20" t="s">
        <v>235</v>
      </c>
      <c r="D235" s="20" t="s">
        <v>919</v>
      </c>
      <c r="E235" s="20" t="s">
        <v>225</v>
      </c>
      <c r="F235" s="6">
        <f>'пр.5.1.ведом.21-22'!G154</f>
        <v>5525</v>
      </c>
      <c r="G235" s="6">
        <f>'пр.5.1.ведом.21-22'!H154</f>
        <v>5525</v>
      </c>
    </row>
    <row r="236" spans="1:7" ht="47.25" x14ac:dyDescent="0.25">
      <c r="A236" s="25" t="s">
        <v>214</v>
      </c>
      <c r="B236" s="20" t="s">
        <v>231</v>
      </c>
      <c r="C236" s="20" t="s">
        <v>235</v>
      </c>
      <c r="D236" s="20" t="s">
        <v>919</v>
      </c>
      <c r="E236" s="20" t="s">
        <v>148</v>
      </c>
      <c r="F236" s="6">
        <f>F237</f>
        <v>163</v>
      </c>
      <c r="G236" s="6">
        <f>G237</f>
        <v>163</v>
      </c>
    </row>
    <row r="237" spans="1:7" ht="47.25" x14ac:dyDescent="0.25">
      <c r="A237" s="25" t="s">
        <v>149</v>
      </c>
      <c r="B237" s="20" t="s">
        <v>231</v>
      </c>
      <c r="C237" s="20" t="s">
        <v>235</v>
      </c>
      <c r="D237" s="20" t="s">
        <v>919</v>
      </c>
      <c r="E237" s="20" t="s">
        <v>150</v>
      </c>
      <c r="F237" s="6">
        <f>'пр.5.1.ведом.21-22'!G156</f>
        <v>163</v>
      </c>
      <c r="G237" s="6">
        <f>'пр.5.1.ведом.21-22'!H156</f>
        <v>163</v>
      </c>
    </row>
    <row r="238" spans="1:7" ht="47.25" x14ac:dyDescent="0.25">
      <c r="A238" s="25" t="s">
        <v>885</v>
      </c>
      <c r="B238" s="20" t="s">
        <v>231</v>
      </c>
      <c r="C238" s="20" t="s">
        <v>235</v>
      </c>
      <c r="D238" s="20" t="s">
        <v>920</v>
      </c>
      <c r="E238" s="20"/>
      <c r="F238" s="6">
        <f>F239</f>
        <v>252</v>
      </c>
      <c r="G238" s="6">
        <f>G239</f>
        <v>252</v>
      </c>
    </row>
    <row r="239" spans="1:7" ht="94.5" x14ac:dyDescent="0.25">
      <c r="A239" s="25" t="s">
        <v>143</v>
      </c>
      <c r="B239" s="20" t="s">
        <v>231</v>
      </c>
      <c r="C239" s="20" t="s">
        <v>235</v>
      </c>
      <c r="D239" s="20" t="s">
        <v>920</v>
      </c>
      <c r="E239" s="20" t="s">
        <v>144</v>
      </c>
      <c r="F239" s="6">
        <f>F240</f>
        <v>252</v>
      </c>
      <c r="G239" s="6">
        <f>G240</f>
        <v>252</v>
      </c>
    </row>
    <row r="240" spans="1:7" ht="47.25" x14ac:dyDescent="0.25">
      <c r="A240" s="25" t="s">
        <v>145</v>
      </c>
      <c r="B240" s="20" t="s">
        <v>231</v>
      </c>
      <c r="C240" s="20" t="s">
        <v>235</v>
      </c>
      <c r="D240" s="20" t="s">
        <v>920</v>
      </c>
      <c r="E240" s="20" t="s">
        <v>146</v>
      </c>
      <c r="F240" s="6">
        <f>'пр.5.1.ведом.21-22'!G159</f>
        <v>252</v>
      </c>
      <c r="G240" s="6">
        <f>'пр.5.1.ведом.21-22'!H159</f>
        <v>252</v>
      </c>
    </row>
    <row r="241" spans="1:7" ht="15.75" x14ac:dyDescent="0.25">
      <c r="A241" s="23" t="s">
        <v>248</v>
      </c>
      <c r="B241" s="24" t="s">
        <v>166</v>
      </c>
      <c r="C241" s="24"/>
      <c r="D241" s="24"/>
      <c r="E241" s="20"/>
      <c r="F241" s="4">
        <f t="shared" ref="F241" si="15">F255+F261+F273+F242</f>
        <v>7611.8</v>
      </c>
      <c r="G241" s="4">
        <f>G255+G261+G273+G242</f>
        <v>7579.5</v>
      </c>
    </row>
    <row r="242" spans="1:7" ht="15.75" x14ac:dyDescent="0.25">
      <c r="A242" s="23" t="s">
        <v>249</v>
      </c>
      <c r="B242" s="24" t="s">
        <v>166</v>
      </c>
      <c r="C242" s="24" t="s">
        <v>250</v>
      </c>
      <c r="D242" s="24"/>
      <c r="E242" s="20"/>
      <c r="F242" s="4">
        <f>F243</f>
        <v>306</v>
      </c>
      <c r="G242" s="4">
        <f>G243</f>
        <v>306</v>
      </c>
    </row>
    <row r="243" spans="1:7" ht="47.25" x14ac:dyDescent="0.25">
      <c r="A243" s="34" t="s">
        <v>1439</v>
      </c>
      <c r="B243" s="24" t="s">
        <v>166</v>
      </c>
      <c r="C243" s="24" t="s">
        <v>250</v>
      </c>
      <c r="D243" s="207" t="s">
        <v>198</v>
      </c>
      <c r="E243" s="235"/>
      <c r="F243" s="4">
        <f>F244+F251</f>
        <v>306</v>
      </c>
      <c r="G243" s="4">
        <f>G244+G251</f>
        <v>306</v>
      </c>
    </row>
    <row r="244" spans="1:7" ht="47.25" x14ac:dyDescent="0.25">
      <c r="A244" s="34" t="s">
        <v>1159</v>
      </c>
      <c r="B244" s="24" t="s">
        <v>166</v>
      </c>
      <c r="C244" s="24" t="s">
        <v>250</v>
      </c>
      <c r="D244" s="269" t="s">
        <v>923</v>
      </c>
      <c r="E244" s="235"/>
      <c r="F244" s="4">
        <f>F245+F248</f>
        <v>256</v>
      </c>
      <c r="G244" s="4">
        <f>G245+G248</f>
        <v>256</v>
      </c>
    </row>
    <row r="245" spans="1:7" ht="15.75" x14ac:dyDescent="0.25">
      <c r="A245" s="25" t="s">
        <v>924</v>
      </c>
      <c r="B245" s="20" t="s">
        <v>166</v>
      </c>
      <c r="C245" s="20" t="s">
        <v>250</v>
      </c>
      <c r="D245" s="20" t="s">
        <v>968</v>
      </c>
      <c r="E245" s="32"/>
      <c r="F245" s="6">
        <f>F246</f>
        <v>1</v>
      </c>
      <c r="G245" s="6">
        <f>G246</f>
        <v>1</v>
      </c>
    </row>
    <row r="246" spans="1:7" ht="15.75" x14ac:dyDescent="0.25">
      <c r="A246" s="29" t="s">
        <v>151</v>
      </c>
      <c r="B246" s="20" t="s">
        <v>166</v>
      </c>
      <c r="C246" s="20" t="s">
        <v>250</v>
      </c>
      <c r="D246" s="20" t="s">
        <v>968</v>
      </c>
      <c r="E246" s="32" t="s">
        <v>161</v>
      </c>
      <c r="F246" s="6">
        <f>F247</f>
        <v>1</v>
      </c>
      <c r="G246" s="6">
        <f>G247</f>
        <v>1</v>
      </c>
    </row>
    <row r="247" spans="1:7" ht="63" x14ac:dyDescent="0.25">
      <c r="A247" s="29" t="s">
        <v>200</v>
      </c>
      <c r="B247" s="20" t="s">
        <v>166</v>
      </c>
      <c r="C247" s="20" t="s">
        <v>250</v>
      </c>
      <c r="D247" s="20" t="s">
        <v>968</v>
      </c>
      <c r="E247" s="32" t="s">
        <v>176</v>
      </c>
      <c r="F247" s="6">
        <f>'пр.5.1.ведом.21-22'!G166</f>
        <v>1</v>
      </c>
      <c r="G247" s="6">
        <f>'пр.5.1.ведом.21-22'!H166</f>
        <v>1</v>
      </c>
    </row>
    <row r="248" spans="1:7" ht="31.5" x14ac:dyDescent="0.25">
      <c r="A248" s="25" t="s">
        <v>251</v>
      </c>
      <c r="B248" s="20" t="s">
        <v>166</v>
      </c>
      <c r="C248" s="20" t="s">
        <v>250</v>
      </c>
      <c r="D248" s="20" t="s">
        <v>927</v>
      </c>
      <c r="E248" s="20"/>
      <c r="F248" s="6">
        <f>F249</f>
        <v>255</v>
      </c>
      <c r="G248" s="6">
        <f>G249</f>
        <v>255</v>
      </c>
    </row>
    <row r="249" spans="1:7" ht="15.75" x14ac:dyDescent="0.25">
      <c r="A249" s="25" t="s">
        <v>151</v>
      </c>
      <c r="B249" s="20" t="s">
        <v>166</v>
      </c>
      <c r="C249" s="20" t="s">
        <v>250</v>
      </c>
      <c r="D249" s="20" t="s">
        <v>927</v>
      </c>
      <c r="E249" s="20" t="s">
        <v>161</v>
      </c>
      <c r="F249" s="6">
        <f>F250</f>
        <v>255</v>
      </c>
      <c r="G249" s="6">
        <f>G250</f>
        <v>255</v>
      </c>
    </row>
    <row r="250" spans="1:7" ht="63" x14ac:dyDescent="0.25">
      <c r="A250" s="25" t="s">
        <v>200</v>
      </c>
      <c r="B250" s="20" t="s">
        <v>166</v>
      </c>
      <c r="C250" s="20" t="s">
        <v>250</v>
      </c>
      <c r="D250" s="20" t="s">
        <v>927</v>
      </c>
      <c r="E250" s="20" t="s">
        <v>176</v>
      </c>
      <c r="F250" s="6">
        <f>'пр.5.1.ведом.21-22'!G169</f>
        <v>255</v>
      </c>
      <c r="G250" s="6">
        <f>'пр.5.1.ведом.21-22'!H169</f>
        <v>255</v>
      </c>
    </row>
    <row r="251" spans="1:7" ht="47.25" x14ac:dyDescent="0.25">
      <c r="A251" s="226" t="s">
        <v>1160</v>
      </c>
      <c r="B251" s="24" t="s">
        <v>166</v>
      </c>
      <c r="C251" s="24" t="s">
        <v>250</v>
      </c>
      <c r="D251" s="207" t="s">
        <v>926</v>
      </c>
      <c r="E251" s="235"/>
      <c r="F251" s="4">
        <f t="shared" ref="F251:G253" si="16">F252</f>
        <v>50</v>
      </c>
      <c r="G251" s="4">
        <f t="shared" si="16"/>
        <v>50</v>
      </c>
    </row>
    <row r="252" spans="1:7" ht="15.75" x14ac:dyDescent="0.25">
      <c r="A252" s="25" t="s">
        <v>925</v>
      </c>
      <c r="B252" s="20" t="s">
        <v>166</v>
      </c>
      <c r="C252" s="20" t="s">
        <v>250</v>
      </c>
      <c r="D252" s="5" t="s">
        <v>969</v>
      </c>
      <c r="E252" s="32"/>
      <c r="F252" s="6">
        <f t="shared" si="16"/>
        <v>50</v>
      </c>
      <c r="G252" s="6">
        <f t="shared" si="16"/>
        <v>50</v>
      </c>
    </row>
    <row r="253" spans="1:7" ht="15.75" x14ac:dyDescent="0.25">
      <c r="A253" s="29" t="s">
        <v>151</v>
      </c>
      <c r="B253" s="20" t="s">
        <v>166</v>
      </c>
      <c r="C253" s="20" t="s">
        <v>250</v>
      </c>
      <c r="D253" s="5" t="s">
        <v>969</v>
      </c>
      <c r="E253" s="32" t="s">
        <v>161</v>
      </c>
      <c r="F253" s="6">
        <f t="shared" si="16"/>
        <v>50</v>
      </c>
      <c r="G253" s="6">
        <f t="shared" si="16"/>
        <v>50</v>
      </c>
    </row>
    <row r="254" spans="1:7" ht="63" x14ac:dyDescent="0.25">
      <c r="A254" s="29" t="s">
        <v>200</v>
      </c>
      <c r="B254" s="20" t="s">
        <v>166</v>
      </c>
      <c r="C254" s="20" t="s">
        <v>250</v>
      </c>
      <c r="D254" s="5" t="s">
        <v>969</v>
      </c>
      <c r="E254" s="32" t="s">
        <v>176</v>
      </c>
      <c r="F254" s="6">
        <f>'пр.5.1.ведом.21-22'!G173</f>
        <v>50</v>
      </c>
      <c r="G254" s="6">
        <f>'пр.5.1.ведом.21-22'!H173</f>
        <v>50</v>
      </c>
    </row>
    <row r="255" spans="1:7" ht="15.75" x14ac:dyDescent="0.25">
      <c r="A255" s="23" t="s">
        <v>521</v>
      </c>
      <c r="B255" s="24" t="s">
        <v>166</v>
      </c>
      <c r="C255" s="24" t="s">
        <v>315</v>
      </c>
      <c r="D255" s="24"/>
      <c r="E255" s="24"/>
      <c r="F255" s="4">
        <f t="shared" ref="F255:G257" si="17">F256</f>
        <v>3258</v>
      </c>
      <c r="G255" s="4">
        <f t="shared" si="17"/>
        <v>3258</v>
      </c>
    </row>
    <row r="256" spans="1:7" ht="15.75" x14ac:dyDescent="0.25">
      <c r="A256" s="23" t="s">
        <v>157</v>
      </c>
      <c r="B256" s="24" t="s">
        <v>166</v>
      </c>
      <c r="C256" s="24" t="s">
        <v>315</v>
      </c>
      <c r="D256" s="24" t="s">
        <v>912</v>
      </c>
      <c r="E256" s="24"/>
      <c r="F256" s="4">
        <f t="shared" si="17"/>
        <v>3258</v>
      </c>
      <c r="G256" s="4">
        <f t="shared" si="17"/>
        <v>3258</v>
      </c>
    </row>
    <row r="257" spans="1:7" ht="31.5" x14ac:dyDescent="0.25">
      <c r="A257" s="23" t="s">
        <v>916</v>
      </c>
      <c r="B257" s="24" t="s">
        <v>166</v>
      </c>
      <c r="C257" s="24" t="s">
        <v>315</v>
      </c>
      <c r="D257" s="24" t="s">
        <v>911</v>
      </c>
      <c r="E257" s="24"/>
      <c r="F257" s="4">
        <f t="shared" si="17"/>
        <v>3258</v>
      </c>
      <c r="G257" s="4">
        <f t="shared" si="17"/>
        <v>3258</v>
      </c>
    </row>
    <row r="258" spans="1:7" ht="31.5" x14ac:dyDescent="0.25">
      <c r="A258" s="25" t="s">
        <v>522</v>
      </c>
      <c r="B258" s="20" t="s">
        <v>166</v>
      </c>
      <c r="C258" s="20" t="s">
        <v>315</v>
      </c>
      <c r="D258" s="20" t="s">
        <v>1093</v>
      </c>
      <c r="E258" s="20"/>
      <c r="F258" s="6">
        <f>F259</f>
        <v>3258</v>
      </c>
      <c r="G258" s="6">
        <f>G259</f>
        <v>3258</v>
      </c>
    </row>
    <row r="259" spans="1:7" ht="31.5" x14ac:dyDescent="0.25">
      <c r="A259" s="25" t="s">
        <v>147</v>
      </c>
      <c r="B259" s="20" t="s">
        <v>166</v>
      </c>
      <c r="C259" s="20" t="s">
        <v>315</v>
      </c>
      <c r="D259" s="20" t="s">
        <v>1093</v>
      </c>
      <c r="E259" s="20" t="s">
        <v>148</v>
      </c>
      <c r="F259" s="6">
        <f>F260</f>
        <v>3258</v>
      </c>
      <c r="G259" s="6">
        <f>G260</f>
        <v>3258</v>
      </c>
    </row>
    <row r="260" spans="1:7" ht="47.25" x14ac:dyDescent="0.25">
      <c r="A260" s="25" t="s">
        <v>149</v>
      </c>
      <c r="B260" s="20" t="s">
        <v>166</v>
      </c>
      <c r="C260" s="20" t="s">
        <v>315</v>
      </c>
      <c r="D260" s="20" t="s">
        <v>1093</v>
      </c>
      <c r="E260" s="20" t="s">
        <v>150</v>
      </c>
      <c r="F260" s="6">
        <f>'пр.5.1.ведом.21-22'!G878</f>
        <v>3258</v>
      </c>
      <c r="G260" s="6">
        <f>'пр.5.1.ведом.21-22'!H878</f>
        <v>3258</v>
      </c>
    </row>
    <row r="261" spans="1:7" ht="15.75" x14ac:dyDescent="0.25">
      <c r="A261" s="23" t="s">
        <v>524</v>
      </c>
      <c r="B261" s="24" t="s">
        <v>166</v>
      </c>
      <c r="C261" s="24" t="s">
        <v>235</v>
      </c>
      <c r="D261" s="20"/>
      <c r="E261" s="24"/>
      <c r="F261" s="4">
        <f t="shared" ref="F261:G261" si="18">F262</f>
        <v>3189</v>
      </c>
      <c r="G261" s="4">
        <f t="shared" si="18"/>
        <v>3278</v>
      </c>
    </row>
    <row r="262" spans="1:7" ht="63" x14ac:dyDescent="0.25">
      <c r="A262" s="34" t="s">
        <v>1435</v>
      </c>
      <c r="B262" s="24" t="s">
        <v>166</v>
      </c>
      <c r="C262" s="24" t="s">
        <v>235</v>
      </c>
      <c r="D262" s="24" t="s">
        <v>526</v>
      </c>
      <c r="E262" s="24"/>
      <c r="F262" s="59">
        <f>F263+F267</f>
        <v>3189</v>
      </c>
      <c r="G262" s="59">
        <f>G263+G267</f>
        <v>3278</v>
      </c>
    </row>
    <row r="263" spans="1:7" ht="31.5" hidden="1" x14ac:dyDescent="0.25">
      <c r="A263" s="34" t="s">
        <v>1150</v>
      </c>
      <c r="B263" s="24" t="s">
        <v>166</v>
      </c>
      <c r="C263" s="24" t="s">
        <v>235</v>
      </c>
      <c r="D263" s="7" t="s">
        <v>1094</v>
      </c>
      <c r="E263" s="24"/>
      <c r="F263" s="59">
        <f>F264</f>
        <v>0</v>
      </c>
      <c r="G263" s="59">
        <f>G264</f>
        <v>0</v>
      </c>
    </row>
    <row r="264" spans="1:7" ht="31.5" hidden="1" x14ac:dyDescent="0.25">
      <c r="A264" s="29" t="s">
        <v>1152</v>
      </c>
      <c r="B264" s="20" t="s">
        <v>166</v>
      </c>
      <c r="C264" s="20" t="s">
        <v>235</v>
      </c>
      <c r="D264" s="40" t="s">
        <v>1151</v>
      </c>
      <c r="E264" s="20"/>
      <c r="F264" s="6">
        <f>'Пр.3 Рд,пр, ЦС,ВР 20'!F271</f>
        <v>0</v>
      </c>
      <c r="G264" s="6">
        <f t="shared" si="12"/>
        <v>0</v>
      </c>
    </row>
    <row r="265" spans="1:7" ht="31.5" hidden="1" x14ac:dyDescent="0.25">
      <c r="A265" s="25" t="s">
        <v>147</v>
      </c>
      <c r="B265" s="20" t="s">
        <v>166</v>
      </c>
      <c r="C265" s="20" t="s">
        <v>235</v>
      </c>
      <c r="D265" s="40" t="s">
        <v>1151</v>
      </c>
      <c r="E265" s="20" t="s">
        <v>148</v>
      </c>
      <c r="F265" s="6">
        <f>'Пр.3 Рд,пр, ЦС,ВР 20'!F272</f>
        <v>0</v>
      </c>
      <c r="G265" s="6">
        <f t="shared" si="12"/>
        <v>0</v>
      </c>
    </row>
    <row r="266" spans="1:7" ht="47.25" hidden="1" x14ac:dyDescent="0.25">
      <c r="A266" s="25" t="s">
        <v>149</v>
      </c>
      <c r="B266" s="20" t="s">
        <v>166</v>
      </c>
      <c r="C266" s="20" t="s">
        <v>235</v>
      </c>
      <c r="D266" s="40" t="s">
        <v>1151</v>
      </c>
      <c r="E266" s="20" t="s">
        <v>150</v>
      </c>
      <c r="F266" s="6">
        <f>'Пр.3 Рд,пр, ЦС,ВР 20'!F273</f>
        <v>0</v>
      </c>
      <c r="G266" s="6">
        <f t="shared" si="12"/>
        <v>0</v>
      </c>
    </row>
    <row r="267" spans="1:7" ht="47.25" x14ac:dyDescent="0.25">
      <c r="A267" s="34" t="s">
        <v>1237</v>
      </c>
      <c r="B267" s="24" t="s">
        <v>166</v>
      </c>
      <c r="C267" s="24" t="s">
        <v>235</v>
      </c>
      <c r="D267" s="24" t="s">
        <v>1095</v>
      </c>
      <c r="E267" s="24"/>
      <c r="F267" s="310">
        <f t="shared" ref="F267:G269" si="19">F268</f>
        <v>3189</v>
      </c>
      <c r="G267" s="310">
        <f t="shared" si="19"/>
        <v>3278</v>
      </c>
    </row>
    <row r="268" spans="1:7" ht="15.75" x14ac:dyDescent="0.25">
      <c r="A268" s="29" t="s">
        <v>527</v>
      </c>
      <c r="B268" s="20" t="s">
        <v>166</v>
      </c>
      <c r="C268" s="20" t="s">
        <v>235</v>
      </c>
      <c r="D268" s="40" t="s">
        <v>1153</v>
      </c>
      <c r="E268" s="20"/>
      <c r="F268" s="6">
        <f t="shared" si="19"/>
        <v>3189</v>
      </c>
      <c r="G268" s="6">
        <f t="shared" si="19"/>
        <v>3278</v>
      </c>
    </row>
    <row r="269" spans="1:7" ht="31.5" x14ac:dyDescent="0.25">
      <c r="A269" s="25" t="s">
        <v>147</v>
      </c>
      <c r="B269" s="20" t="s">
        <v>166</v>
      </c>
      <c r="C269" s="20" t="s">
        <v>235</v>
      </c>
      <c r="D269" s="40" t="s">
        <v>1153</v>
      </c>
      <c r="E269" s="20" t="s">
        <v>148</v>
      </c>
      <c r="F269" s="6">
        <f t="shared" si="19"/>
        <v>3189</v>
      </c>
      <c r="G269" s="6">
        <f t="shared" si="19"/>
        <v>3278</v>
      </c>
    </row>
    <row r="270" spans="1:7" ht="47.25" x14ac:dyDescent="0.25">
      <c r="A270" s="25" t="s">
        <v>149</v>
      </c>
      <c r="B270" s="20" t="s">
        <v>166</v>
      </c>
      <c r="C270" s="20" t="s">
        <v>235</v>
      </c>
      <c r="D270" s="40" t="s">
        <v>1153</v>
      </c>
      <c r="E270" s="20" t="s">
        <v>150</v>
      </c>
      <c r="F270" s="6">
        <f>'пр.5.1.ведом.21-22'!G888</f>
        <v>3189</v>
      </c>
      <c r="G270" s="6">
        <f>'пр.5.1.ведом.21-22'!H888</f>
        <v>3278</v>
      </c>
    </row>
    <row r="271" spans="1:7" ht="15.75" hidden="1" x14ac:dyDescent="0.25">
      <c r="A271" s="25" t="s">
        <v>151</v>
      </c>
      <c r="B271" s="20" t="s">
        <v>166</v>
      </c>
      <c r="C271" s="20" t="s">
        <v>235</v>
      </c>
      <c r="D271" s="40" t="s">
        <v>1153</v>
      </c>
      <c r="E271" s="20" t="s">
        <v>161</v>
      </c>
      <c r="F271" s="6">
        <f>'Пр.3 Рд,пр, ЦС,ВР 20'!F280</f>
        <v>0</v>
      </c>
      <c r="G271" s="6">
        <f t="shared" si="12"/>
        <v>0</v>
      </c>
    </row>
    <row r="272" spans="1:7" ht="31.5" hidden="1" x14ac:dyDescent="0.25">
      <c r="A272" s="25" t="s">
        <v>584</v>
      </c>
      <c r="B272" s="20" t="s">
        <v>166</v>
      </c>
      <c r="C272" s="20" t="s">
        <v>235</v>
      </c>
      <c r="D272" s="40" t="s">
        <v>1153</v>
      </c>
      <c r="E272" s="20" t="s">
        <v>154</v>
      </c>
      <c r="F272" s="6">
        <f>'Пр.3 Рд,пр, ЦС,ВР 20'!F281</f>
        <v>0</v>
      </c>
      <c r="G272" s="6">
        <f t="shared" si="12"/>
        <v>0</v>
      </c>
    </row>
    <row r="273" spans="1:7" ht="31.5" x14ac:dyDescent="0.25">
      <c r="A273" s="23" t="s">
        <v>253</v>
      </c>
      <c r="B273" s="24" t="s">
        <v>166</v>
      </c>
      <c r="C273" s="24" t="s">
        <v>254</v>
      </c>
      <c r="D273" s="24"/>
      <c r="E273" s="24"/>
      <c r="F273" s="59">
        <f>F274+F281+F308</f>
        <v>858.8</v>
      </c>
      <c r="G273" s="59">
        <f>G274+G281+G308</f>
        <v>737.5</v>
      </c>
    </row>
    <row r="274" spans="1:7" ht="31.5" x14ac:dyDescent="0.25">
      <c r="A274" s="23" t="s">
        <v>990</v>
      </c>
      <c r="B274" s="24" t="s">
        <v>166</v>
      </c>
      <c r="C274" s="24" t="s">
        <v>254</v>
      </c>
      <c r="D274" s="24" t="s">
        <v>904</v>
      </c>
      <c r="E274" s="24"/>
      <c r="F274" s="59">
        <f>F275</f>
        <v>288.8</v>
      </c>
      <c r="G274" s="59">
        <f>G275</f>
        <v>288.8</v>
      </c>
    </row>
    <row r="275" spans="1:7" ht="47.25" x14ac:dyDescent="0.25">
      <c r="A275" s="23" t="s">
        <v>932</v>
      </c>
      <c r="B275" s="24" t="s">
        <v>166</v>
      </c>
      <c r="C275" s="24" t="s">
        <v>254</v>
      </c>
      <c r="D275" s="24" t="s">
        <v>909</v>
      </c>
      <c r="E275" s="24"/>
      <c r="F275" s="59">
        <f>F276</f>
        <v>288.8</v>
      </c>
      <c r="G275" s="59">
        <f>G276</f>
        <v>288.8</v>
      </c>
    </row>
    <row r="276" spans="1:7" ht="78.75" x14ac:dyDescent="0.25">
      <c r="A276" s="31" t="s">
        <v>257</v>
      </c>
      <c r="B276" s="20" t="s">
        <v>166</v>
      </c>
      <c r="C276" s="20" t="s">
        <v>254</v>
      </c>
      <c r="D276" s="20" t="s">
        <v>997</v>
      </c>
      <c r="E276" s="20"/>
      <c r="F276" s="6">
        <f>F277+F279</f>
        <v>288.8</v>
      </c>
      <c r="G276" s="6">
        <f>G277+G279</f>
        <v>288.8</v>
      </c>
    </row>
    <row r="277" spans="1:7" ht="94.5" x14ac:dyDescent="0.25">
      <c r="A277" s="25" t="s">
        <v>143</v>
      </c>
      <c r="B277" s="20" t="s">
        <v>166</v>
      </c>
      <c r="C277" s="20" t="s">
        <v>254</v>
      </c>
      <c r="D277" s="20" t="s">
        <v>997</v>
      </c>
      <c r="E277" s="20" t="s">
        <v>144</v>
      </c>
      <c r="F277" s="6">
        <f>F278</f>
        <v>187</v>
      </c>
      <c r="G277" s="6">
        <f>G278</f>
        <v>187</v>
      </c>
    </row>
    <row r="278" spans="1:7" ht="47.25" x14ac:dyDescent="0.25">
      <c r="A278" s="25" t="s">
        <v>145</v>
      </c>
      <c r="B278" s="20" t="s">
        <v>166</v>
      </c>
      <c r="C278" s="20" t="s">
        <v>254</v>
      </c>
      <c r="D278" s="20" t="s">
        <v>997</v>
      </c>
      <c r="E278" s="20" t="s">
        <v>146</v>
      </c>
      <c r="F278" s="6">
        <f>'пр.5.1.ведом.21-22'!G179</f>
        <v>187</v>
      </c>
      <c r="G278" s="6">
        <f>'пр.5.1.ведом.21-22'!H179</f>
        <v>187</v>
      </c>
    </row>
    <row r="279" spans="1:7" ht="31.5" x14ac:dyDescent="0.25">
      <c r="A279" s="25" t="s">
        <v>147</v>
      </c>
      <c r="B279" s="20" t="s">
        <v>166</v>
      </c>
      <c r="C279" s="20" t="s">
        <v>254</v>
      </c>
      <c r="D279" s="20" t="s">
        <v>997</v>
      </c>
      <c r="E279" s="20" t="s">
        <v>148</v>
      </c>
      <c r="F279" s="6">
        <f>F280</f>
        <v>101.8</v>
      </c>
      <c r="G279" s="6">
        <f>G280</f>
        <v>101.8</v>
      </c>
    </row>
    <row r="280" spans="1:7" ht="47.25" x14ac:dyDescent="0.25">
      <c r="A280" s="25" t="s">
        <v>149</v>
      </c>
      <c r="B280" s="20" t="s">
        <v>166</v>
      </c>
      <c r="C280" s="20" t="s">
        <v>254</v>
      </c>
      <c r="D280" s="20" t="s">
        <v>997</v>
      </c>
      <c r="E280" s="20" t="s">
        <v>150</v>
      </c>
      <c r="F280" s="6">
        <f>'пр.5.1.ведом.21-22'!G181</f>
        <v>101.8</v>
      </c>
      <c r="G280" s="6">
        <f>'пр.5.1.ведом.21-22'!H181</f>
        <v>101.8</v>
      </c>
    </row>
    <row r="281" spans="1:7" ht="63" x14ac:dyDescent="0.25">
      <c r="A281" s="23" t="s">
        <v>1423</v>
      </c>
      <c r="B281" s="24" t="s">
        <v>166</v>
      </c>
      <c r="C281" s="24" t="s">
        <v>254</v>
      </c>
      <c r="D281" s="24" t="s">
        <v>360</v>
      </c>
      <c r="E281" s="235"/>
      <c r="F281" s="59">
        <f>F282</f>
        <v>570</v>
      </c>
      <c r="G281" s="59">
        <f>G282</f>
        <v>448.7</v>
      </c>
    </row>
    <row r="282" spans="1:7" ht="63" x14ac:dyDescent="0.25">
      <c r="A282" s="23" t="s">
        <v>383</v>
      </c>
      <c r="B282" s="24" t="s">
        <v>166</v>
      </c>
      <c r="C282" s="24" t="s">
        <v>254</v>
      </c>
      <c r="D282" s="24" t="s">
        <v>384</v>
      </c>
      <c r="E282" s="24"/>
      <c r="F282" s="59">
        <f>F283+F290+F297+F304</f>
        <v>570</v>
      </c>
      <c r="G282" s="59">
        <f>G283+G290+G297+G304</f>
        <v>448.7</v>
      </c>
    </row>
    <row r="283" spans="1:7" ht="47.25" hidden="1" x14ac:dyDescent="0.25">
      <c r="A283" s="227" t="s">
        <v>1211</v>
      </c>
      <c r="B283" s="24" t="s">
        <v>166</v>
      </c>
      <c r="C283" s="24" t="s">
        <v>254</v>
      </c>
      <c r="D283" s="24" t="s">
        <v>937</v>
      </c>
      <c r="E283" s="24"/>
      <c r="F283" s="59">
        <f>F284+F287</f>
        <v>0</v>
      </c>
      <c r="G283" s="59">
        <f>G284+G287</f>
        <v>0</v>
      </c>
    </row>
    <row r="284" spans="1:7" ht="63" hidden="1" x14ac:dyDescent="0.25">
      <c r="A284" s="25" t="s">
        <v>391</v>
      </c>
      <c r="B284" s="20" t="s">
        <v>166</v>
      </c>
      <c r="C284" s="20" t="s">
        <v>254</v>
      </c>
      <c r="D284" s="20" t="s">
        <v>1212</v>
      </c>
      <c r="E284" s="20"/>
      <c r="F284" s="6">
        <f>'Пр.3 Рд,пр, ЦС,ВР 20'!F298</f>
        <v>0</v>
      </c>
      <c r="G284" s="6">
        <f t="shared" ref="G284:G343" si="20">F284</f>
        <v>0</v>
      </c>
    </row>
    <row r="285" spans="1:7" ht="31.5" hidden="1" x14ac:dyDescent="0.25">
      <c r="A285" s="25" t="s">
        <v>264</v>
      </c>
      <c r="B285" s="20" t="s">
        <v>166</v>
      </c>
      <c r="C285" s="20" t="s">
        <v>254</v>
      </c>
      <c r="D285" s="20" t="s">
        <v>1212</v>
      </c>
      <c r="E285" s="20" t="s">
        <v>265</v>
      </c>
      <c r="F285" s="6">
        <f>'Пр.3 Рд,пр, ЦС,ВР 20'!F299</f>
        <v>0</v>
      </c>
      <c r="G285" s="6">
        <f t="shared" si="20"/>
        <v>0</v>
      </c>
    </row>
    <row r="286" spans="1:7" ht="47.25" hidden="1" x14ac:dyDescent="0.25">
      <c r="A286" s="25" t="s">
        <v>266</v>
      </c>
      <c r="B286" s="20" t="s">
        <v>166</v>
      </c>
      <c r="C286" s="20" t="s">
        <v>254</v>
      </c>
      <c r="D286" s="20" t="s">
        <v>1212</v>
      </c>
      <c r="E286" s="20" t="s">
        <v>267</v>
      </c>
      <c r="F286" s="6">
        <f>'Пр.3 Рд,пр, ЦС,ВР 20'!F300</f>
        <v>0</v>
      </c>
      <c r="G286" s="6">
        <f t="shared" si="20"/>
        <v>0</v>
      </c>
    </row>
    <row r="287" spans="1:7" ht="63" hidden="1" x14ac:dyDescent="0.25">
      <c r="A287" s="25" t="s">
        <v>391</v>
      </c>
      <c r="B287" s="20" t="s">
        <v>166</v>
      </c>
      <c r="C287" s="20" t="s">
        <v>254</v>
      </c>
      <c r="D287" s="20" t="s">
        <v>1213</v>
      </c>
      <c r="E287" s="20"/>
      <c r="F287" s="6">
        <f>'Пр.3 Рд,пр, ЦС,ВР 20'!F301</f>
        <v>0</v>
      </c>
      <c r="G287" s="6">
        <f t="shared" si="20"/>
        <v>0</v>
      </c>
    </row>
    <row r="288" spans="1:7" ht="31.5" hidden="1" x14ac:dyDescent="0.25">
      <c r="A288" s="25" t="s">
        <v>264</v>
      </c>
      <c r="B288" s="20" t="s">
        <v>166</v>
      </c>
      <c r="C288" s="20" t="s">
        <v>254</v>
      </c>
      <c r="D288" s="20" t="s">
        <v>1213</v>
      </c>
      <c r="E288" s="20" t="s">
        <v>265</v>
      </c>
      <c r="F288" s="6">
        <f>'Пр.3 Рд,пр, ЦС,ВР 20'!F302</f>
        <v>0</v>
      </c>
      <c r="G288" s="6">
        <f t="shared" si="20"/>
        <v>0</v>
      </c>
    </row>
    <row r="289" spans="1:7" ht="47.25" hidden="1" x14ac:dyDescent="0.25">
      <c r="A289" s="25" t="s">
        <v>266</v>
      </c>
      <c r="B289" s="20" t="s">
        <v>166</v>
      </c>
      <c r="C289" s="20" t="s">
        <v>254</v>
      </c>
      <c r="D289" s="20" t="s">
        <v>1213</v>
      </c>
      <c r="E289" s="20" t="s">
        <v>267</v>
      </c>
      <c r="F289" s="6">
        <f>'Пр.3 Рд,пр, ЦС,ВР 20'!F303</f>
        <v>0</v>
      </c>
      <c r="G289" s="6">
        <f t="shared" si="20"/>
        <v>0</v>
      </c>
    </row>
    <row r="290" spans="1:7" ht="47.25" x14ac:dyDescent="0.25">
      <c r="A290" s="23" t="s">
        <v>1209</v>
      </c>
      <c r="B290" s="24" t="s">
        <v>166</v>
      </c>
      <c r="C290" s="24" t="s">
        <v>254</v>
      </c>
      <c r="D290" s="24" t="s">
        <v>938</v>
      </c>
      <c r="E290" s="24"/>
      <c r="F290" s="59">
        <f>F291+F294</f>
        <v>560</v>
      </c>
      <c r="G290" s="59">
        <f>G291+G294</f>
        <v>438.7</v>
      </c>
    </row>
    <row r="291" spans="1:7" ht="31.5" x14ac:dyDescent="0.25">
      <c r="A291" s="25" t="s">
        <v>1210</v>
      </c>
      <c r="B291" s="20" t="s">
        <v>166</v>
      </c>
      <c r="C291" s="20" t="s">
        <v>254</v>
      </c>
      <c r="D291" s="20" t="s">
        <v>1214</v>
      </c>
      <c r="E291" s="20"/>
      <c r="F291" s="6">
        <f>F292</f>
        <v>60</v>
      </c>
      <c r="G291" s="6">
        <f>G292</f>
        <v>60</v>
      </c>
    </row>
    <row r="292" spans="1:7" ht="15.75" x14ac:dyDescent="0.25">
      <c r="A292" s="25" t="s">
        <v>151</v>
      </c>
      <c r="B292" s="20" t="s">
        <v>166</v>
      </c>
      <c r="C292" s="20" t="s">
        <v>254</v>
      </c>
      <c r="D292" s="20" t="s">
        <v>1214</v>
      </c>
      <c r="E292" s="20" t="s">
        <v>161</v>
      </c>
      <c r="F292" s="6">
        <f>F293</f>
        <v>60</v>
      </c>
      <c r="G292" s="6">
        <f>G293</f>
        <v>60</v>
      </c>
    </row>
    <row r="293" spans="1:7" ht="63" x14ac:dyDescent="0.25">
      <c r="A293" s="25" t="s">
        <v>200</v>
      </c>
      <c r="B293" s="20" t="s">
        <v>166</v>
      </c>
      <c r="C293" s="20" t="s">
        <v>254</v>
      </c>
      <c r="D293" s="20" t="s">
        <v>1214</v>
      </c>
      <c r="E293" s="20" t="s">
        <v>176</v>
      </c>
      <c r="F293" s="6">
        <f>'пр.5.1.ведом.21-22'!G262</f>
        <v>60</v>
      </c>
      <c r="G293" s="6">
        <f>'пр.5.1.ведом.21-22'!H262</f>
        <v>60</v>
      </c>
    </row>
    <row r="294" spans="1:7" ht="126" x14ac:dyDescent="0.25">
      <c r="A294" s="25" t="s">
        <v>389</v>
      </c>
      <c r="B294" s="20" t="s">
        <v>166</v>
      </c>
      <c r="C294" s="20" t="s">
        <v>254</v>
      </c>
      <c r="D294" s="20" t="s">
        <v>1215</v>
      </c>
      <c r="E294" s="20"/>
      <c r="F294" s="6">
        <f>F295</f>
        <v>500</v>
      </c>
      <c r="G294" s="6">
        <f>G295</f>
        <v>378.7</v>
      </c>
    </row>
    <row r="295" spans="1:7" ht="15.75" x14ac:dyDescent="0.25">
      <c r="A295" s="25" t="s">
        <v>151</v>
      </c>
      <c r="B295" s="20" t="s">
        <v>166</v>
      </c>
      <c r="C295" s="20" t="s">
        <v>254</v>
      </c>
      <c r="D295" s="20" t="s">
        <v>1215</v>
      </c>
      <c r="E295" s="20" t="s">
        <v>161</v>
      </c>
      <c r="F295" s="6">
        <f>F296</f>
        <v>500</v>
      </c>
      <c r="G295" s="6">
        <f>G296</f>
        <v>378.7</v>
      </c>
    </row>
    <row r="296" spans="1:7" ht="63" x14ac:dyDescent="0.25">
      <c r="A296" s="25" t="s">
        <v>200</v>
      </c>
      <c r="B296" s="20" t="s">
        <v>166</v>
      </c>
      <c r="C296" s="20" t="s">
        <v>254</v>
      </c>
      <c r="D296" s="20" t="s">
        <v>1215</v>
      </c>
      <c r="E296" s="20" t="s">
        <v>176</v>
      </c>
      <c r="F296" s="6">
        <f>'пр.5.1.ведом.21-22'!G265</f>
        <v>500</v>
      </c>
      <c r="G296" s="6">
        <f>'пр.5.1.ведом.21-22'!H264</f>
        <v>378.7</v>
      </c>
    </row>
    <row r="297" spans="1:7" ht="31.5" x14ac:dyDescent="0.25">
      <c r="A297" s="23" t="s">
        <v>1145</v>
      </c>
      <c r="B297" s="24" t="s">
        <v>166</v>
      </c>
      <c r="C297" s="24" t="s">
        <v>254</v>
      </c>
      <c r="D297" s="24" t="s">
        <v>939</v>
      </c>
      <c r="E297" s="24"/>
      <c r="F297" s="59">
        <f>F298+F301</f>
        <v>0</v>
      </c>
      <c r="G297" s="59">
        <f>G298+G301</f>
        <v>0</v>
      </c>
    </row>
    <row r="298" spans="1:7" ht="47.25" x14ac:dyDescent="0.25">
      <c r="A298" s="270" t="s">
        <v>1218</v>
      </c>
      <c r="B298" s="20" t="s">
        <v>166</v>
      </c>
      <c r="C298" s="20" t="s">
        <v>254</v>
      </c>
      <c r="D298" s="20" t="s">
        <v>1216</v>
      </c>
      <c r="E298" s="20"/>
      <c r="F298" s="6">
        <f>'Пр.3 Рд,пр, ЦС,ВР 20'!F312</f>
        <v>0</v>
      </c>
      <c r="G298" s="6">
        <f t="shared" si="20"/>
        <v>0</v>
      </c>
    </row>
    <row r="299" spans="1:7" ht="31.5" x14ac:dyDescent="0.25">
      <c r="A299" s="25" t="s">
        <v>147</v>
      </c>
      <c r="B299" s="20" t="s">
        <v>166</v>
      </c>
      <c r="C299" s="20" t="s">
        <v>254</v>
      </c>
      <c r="D299" s="20" t="s">
        <v>1216</v>
      </c>
      <c r="E299" s="20" t="s">
        <v>148</v>
      </c>
      <c r="F299" s="6">
        <f>'Пр.3 Рд,пр, ЦС,ВР 20'!F313</f>
        <v>0</v>
      </c>
      <c r="G299" s="6">
        <f t="shared" si="20"/>
        <v>0</v>
      </c>
    </row>
    <row r="300" spans="1:7" ht="47.25" x14ac:dyDescent="0.25">
      <c r="A300" s="25" t="s">
        <v>149</v>
      </c>
      <c r="B300" s="20" t="s">
        <v>166</v>
      </c>
      <c r="C300" s="20" t="s">
        <v>254</v>
      </c>
      <c r="D300" s="20" t="s">
        <v>1216</v>
      </c>
      <c r="E300" s="20" t="s">
        <v>150</v>
      </c>
      <c r="F300" s="6">
        <f>'Пр.3 Рд,пр, ЦС,ВР 20'!F314</f>
        <v>0</v>
      </c>
      <c r="G300" s="6">
        <f t="shared" si="20"/>
        <v>0</v>
      </c>
    </row>
    <row r="301" spans="1:7" ht="47.25" x14ac:dyDescent="0.25">
      <c r="A301" s="25" t="s">
        <v>393</v>
      </c>
      <c r="B301" s="20" t="s">
        <v>166</v>
      </c>
      <c r="C301" s="20" t="s">
        <v>254</v>
      </c>
      <c r="D301" s="20" t="s">
        <v>1217</v>
      </c>
      <c r="E301" s="20"/>
      <c r="F301" s="6">
        <f>'Пр.3 Рд,пр, ЦС,ВР 20'!F315</f>
        <v>0</v>
      </c>
      <c r="G301" s="6">
        <f t="shared" si="20"/>
        <v>0</v>
      </c>
    </row>
    <row r="302" spans="1:7" ht="31.5" x14ac:dyDescent="0.25">
      <c r="A302" s="25" t="s">
        <v>147</v>
      </c>
      <c r="B302" s="20" t="s">
        <v>166</v>
      </c>
      <c r="C302" s="20" t="s">
        <v>254</v>
      </c>
      <c r="D302" s="20" t="s">
        <v>1217</v>
      </c>
      <c r="E302" s="20" t="s">
        <v>148</v>
      </c>
      <c r="F302" s="6">
        <f>'Пр.3 Рд,пр, ЦС,ВР 20'!F316</f>
        <v>0</v>
      </c>
      <c r="G302" s="6">
        <f t="shared" si="20"/>
        <v>0</v>
      </c>
    </row>
    <row r="303" spans="1:7" ht="47.25" x14ac:dyDescent="0.25">
      <c r="A303" s="25" t="s">
        <v>149</v>
      </c>
      <c r="B303" s="20" t="s">
        <v>166</v>
      </c>
      <c r="C303" s="20" t="s">
        <v>254</v>
      </c>
      <c r="D303" s="20" t="s">
        <v>1217</v>
      </c>
      <c r="E303" s="20" t="s">
        <v>150</v>
      </c>
      <c r="F303" s="6">
        <f>'Пр.3 Рд,пр, ЦС,ВР 20'!F317</f>
        <v>0</v>
      </c>
      <c r="G303" s="6">
        <f t="shared" si="20"/>
        <v>0</v>
      </c>
    </row>
    <row r="304" spans="1:7" s="217" customFormat="1" ht="47.25" x14ac:dyDescent="0.25">
      <c r="A304" s="224" t="s">
        <v>1309</v>
      </c>
      <c r="B304" s="24" t="s">
        <v>166</v>
      </c>
      <c r="C304" s="24" t="s">
        <v>254</v>
      </c>
      <c r="D304" s="24" t="s">
        <v>1308</v>
      </c>
      <c r="E304" s="24"/>
      <c r="F304" s="21">
        <f t="shared" ref="F304:G306" si="21">F305</f>
        <v>10</v>
      </c>
      <c r="G304" s="21">
        <f t="shared" si="21"/>
        <v>10</v>
      </c>
    </row>
    <row r="305" spans="1:7" s="217" customFormat="1" ht="31.5" x14ac:dyDescent="0.25">
      <c r="A305" s="248" t="s">
        <v>1310</v>
      </c>
      <c r="B305" s="20" t="s">
        <v>166</v>
      </c>
      <c r="C305" s="20" t="s">
        <v>254</v>
      </c>
      <c r="D305" s="20" t="s">
        <v>1360</v>
      </c>
      <c r="E305" s="20"/>
      <c r="F305" s="26">
        <f t="shared" si="21"/>
        <v>10</v>
      </c>
      <c r="G305" s="6">
        <f t="shared" si="21"/>
        <v>10</v>
      </c>
    </row>
    <row r="306" spans="1:7" s="217" customFormat="1" ht="31.5" x14ac:dyDescent="0.25">
      <c r="A306" s="25" t="s">
        <v>147</v>
      </c>
      <c r="B306" s="20" t="s">
        <v>166</v>
      </c>
      <c r="C306" s="20" t="s">
        <v>254</v>
      </c>
      <c r="D306" s="20" t="s">
        <v>1360</v>
      </c>
      <c r="E306" s="20" t="s">
        <v>148</v>
      </c>
      <c r="F306" s="26">
        <f t="shared" si="21"/>
        <v>10</v>
      </c>
      <c r="G306" s="6">
        <f t="shared" si="21"/>
        <v>10</v>
      </c>
    </row>
    <row r="307" spans="1:7" s="217" customFormat="1" ht="47.25" x14ac:dyDescent="0.25">
      <c r="A307" s="25" t="s">
        <v>149</v>
      </c>
      <c r="B307" s="20" t="s">
        <v>166</v>
      </c>
      <c r="C307" s="20" t="s">
        <v>254</v>
      </c>
      <c r="D307" s="20" t="s">
        <v>1360</v>
      </c>
      <c r="E307" s="20" t="s">
        <v>150</v>
      </c>
      <c r="F307" s="26">
        <f>'пр.5.1.ведом.21-22'!G276</f>
        <v>10</v>
      </c>
      <c r="G307" s="6">
        <f>'пр.5.1.ведом.21-22'!H276</f>
        <v>10</v>
      </c>
    </row>
    <row r="308" spans="1:7" ht="63" hidden="1" x14ac:dyDescent="0.25">
      <c r="A308" s="23" t="s">
        <v>1440</v>
      </c>
      <c r="B308" s="24" t="s">
        <v>166</v>
      </c>
      <c r="C308" s="24" t="s">
        <v>254</v>
      </c>
      <c r="D308" s="24" t="s">
        <v>172</v>
      </c>
      <c r="E308" s="24"/>
      <c r="F308" s="59">
        <f>F309</f>
        <v>0</v>
      </c>
      <c r="G308" s="59">
        <f>G309</f>
        <v>0</v>
      </c>
    </row>
    <row r="309" spans="1:7" ht="47.25" hidden="1" x14ac:dyDescent="0.25">
      <c r="A309" s="23" t="s">
        <v>1243</v>
      </c>
      <c r="B309" s="24" t="s">
        <v>166</v>
      </c>
      <c r="C309" s="24" t="s">
        <v>254</v>
      </c>
      <c r="D309" s="24" t="s">
        <v>1240</v>
      </c>
      <c r="E309" s="24"/>
      <c r="F309" s="59">
        <f>F310+F313</f>
        <v>0</v>
      </c>
      <c r="G309" s="59">
        <f>G310+G313</f>
        <v>0</v>
      </c>
    </row>
    <row r="310" spans="1:7" ht="31.5" hidden="1" x14ac:dyDescent="0.25">
      <c r="A310" s="25" t="s">
        <v>1244</v>
      </c>
      <c r="B310" s="20" t="s">
        <v>166</v>
      </c>
      <c r="C310" s="20" t="s">
        <v>254</v>
      </c>
      <c r="D310" s="20" t="s">
        <v>1241</v>
      </c>
      <c r="E310" s="20"/>
      <c r="F310" s="6">
        <f>F311</f>
        <v>0</v>
      </c>
      <c r="G310" s="6">
        <f t="shared" si="20"/>
        <v>0</v>
      </c>
    </row>
    <row r="311" spans="1:7" ht="15.75" hidden="1" x14ac:dyDescent="0.25">
      <c r="A311" s="25" t="s">
        <v>151</v>
      </c>
      <c r="B311" s="20" t="s">
        <v>166</v>
      </c>
      <c r="C311" s="20" t="s">
        <v>254</v>
      </c>
      <c r="D311" s="20" t="s">
        <v>1241</v>
      </c>
      <c r="E311" s="20" t="s">
        <v>161</v>
      </c>
      <c r="F311" s="6">
        <f>F312</f>
        <v>0</v>
      </c>
      <c r="G311" s="6">
        <f t="shared" si="20"/>
        <v>0</v>
      </c>
    </row>
    <row r="312" spans="1:7" ht="63" hidden="1" x14ac:dyDescent="0.25">
      <c r="A312" s="25" t="s">
        <v>200</v>
      </c>
      <c r="B312" s="20" t="s">
        <v>166</v>
      </c>
      <c r="C312" s="20" t="s">
        <v>254</v>
      </c>
      <c r="D312" s="20" t="s">
        <v>1241</v>
      </c>
      <c r="E312" s="20" t="s">
        <v>176</v>
      </c>
      <c r="F312" s="6">
        <v>0</v>
      </c>
      <c r="G312" s="6">
        <f t="shared" si="20"/>
        <v>0</v>
      </c>
    </row>
    <row r="313" spans="1:7" ht="47.25" hidden="1" x14ac:dyDescent="0.25">
      <c r="A313" s="25" t="s">
        <v>255</v>
      </c>
      <c r="B313" s="20" t="s">
        <v>166</v>
      </c>
      <c r="C313" s="20" t="s">
        <v>254</v>
      </c>
      <c r="D313" s="20" t="s">
        <v>1242</v>
      </c>
      <c r="E313" s="24"/>
      <c r="F313" s="6">
        <f>'Пр.3 Рд,пр, ЦС,ВР 20'!F327</f>
        <v>0</v>
      </c>
      <c r="G313" s="6">
        <f t="shared" si="20"/>
        <v>0</v>
      </c>
    </row>
    <row r="314" spans="1:7" ht="15.75" hidden="1" x14ac:dyDescent="0.25">
      <c r="A314" s="25" t="s">
        <v>151</v>
      </c>
      <c r="B314" s="20" t="s">
        <v>166</v>
      </c>
      <c r="C314" s="20" t="s">
        <v>254</v>
      </c>
      <c r="D314" s="20" t="s">
        <v>1242</v>
      </c>
      <c r="E314" s="20" t="s">
        <v>161</v>
      </c>
      <c r="F314" s="6">
        <f>'Пр.3 Рд,пр, ЦС,ВР 20'!F328</f>
        <v>0</v>
      </c>
      <c r="G314" s="6">
        <f t="shared" si="20"/>
        <v>0</v>
      </c>
    </row>
    <row r="315" spans="1:7" ht="63" hidden="1" x14ac:dyDescent="0.25">
      <c r="A315" s="25" t="s">
        <v>200</v>
      </c>
      <c r="B315" s="20" t="s">
        <v>166</v>
      </c>
      <c r="C315" s="20" t="s">
        <v>254</v>
      </c>
      <c r="D315" s="20" t="s">
        <v>1242</v>
      </c>
      <c r="E315" s="20" t="s">
        <v>176</v>
      </c>
      <c r="F315" s="6">
        <f>'Пр.3 Рд,пр, ЦС,ВР 20'!F329</f>
        <v>0</v>
      </c>
      <c r="G315" s="6">
        <f t="shared" si="20"/>
        <v>0</v>
      </c>
    </row>
    <row r="316" spans="1:7" ht="15.75" x14ac:dyDescent="0.25">
      <c r="A316" s="23" t="s">
        <v>406</v>
      </c>
      <c r="B316" s="24" t="s">
        <v>250</v>
      </c>
      <c r="C316" s="24"/>
      <c r="D316" s="24"/>
      <c r="E316" s="24"/>
      <c r="F316" s="4">
        <f>F317++F331+F395+F444</f>
        <v>38717.5</v>
      </c>
      <c r="G316" s="4">
        <f>G317++G331+G395+G444</f>
        <v>44867.9</v>
      </c>
    </row>
    <row r="317" spans="1:7" ht="15.75" x14ac:dyDescent="0.25">
      <c r="A317" s="23" t="s">
        <v>407</v>
      </c>
      <c r="B317" s="24" t="s">
        <v>250</v>
      </c>
      <c r="C317" s="24" t="s">
        <v>134</v>
      </c>
      <c r="D317" s="24"/>
      <c r="E317" s="24"/>
      <c r="F317" s="4">
        <f t="shared" ref="F317:G318" si="22">F318</f>
        <v>6341</v>
      </c>
      <c r="G317" s="4">
        <f t="shared" si="22"/>
        <v>6341</v>
      </c>
    </row>
    <row r="318" spans="1:7" ht="15.75" x14ac:dyDescent="0.25">
      <c r="A318" s="23" t="s">
        <v>157</v>
      </c>
      <c r="B318" s="24" t="s">
        <v>250</v>
      </c>
      <c r="C318" s="24" t="s">
        <v>134</v>
      </c>
      <c r="D318" s="24" t="s">
        <v>912</v>
      </c>
      <c r="E318" s="24"/>
      <c r="F318" s="4">
        <f t="shared" si="22"/>
        <v>6341</v>
      </c>
      <c r="G318" s="4">
        <f t="shared" si="22"/>
        <v>6341</v>
      </c>
    </row>
    <row r="319" spans="1:7" ht="31.5" x14ac:dyDescent="0.25">
      <c r="A319" s="23" t="s">
        <v>916</v>
      </c>
      <c r="B319" s="24" t="s">
        <v>250</v>
      </c>
      <c r="C319" s="24" t="s">
        <v>134</v>
      </c>
      <c r="D319" s="24" t="s">
        <v>911</v>
      </c>
      <c r="E319" s="24"/>
      <c r="F319" s="4">
        <f>F320+F325+F328</f>
        <v>6341</v>
      </c>
      <c r="G319" s="4">
        <f>G320+G325+G328</f>
        <v>6341</v>
      </c>
    </row>
    <row r="320" spans="1:7" ht="31.5" hidden="1" x14ac:dyDescent="0.25">
      <c r="A320" s="25" t="s">
        <v>531</v>
      </c>
      <c r="B320" s="20" t="s">
        <v>797</v>
      </c>
      <c r="C320" s="20" t="s">
        <v>134</v>
      </c>
      <c r="D320" s="20" t="s">
        <v>1096</v>
      </c>
      <c r="E320" s="24"/>
      <c r="F320" s="6">
        <f>F321</f>
        <v>0</v>
      </c>
      <c r="G320" s="6">
        <f>G321</f>
        <v>0</v>
      </c>
    </row>
    <row r="321" spans="1:7" ht="31.5" hidden="1" x14ac:dyDescent="0.25">
      <c r="A321" s="25" t="s">
        <v>147</v>
      </c>
      <c r="B321" s="20" t="s">
        <v>250</v>
      </c>
      <c r="C321" s="20" t="s">
        <v>134</v>
      </c>
      <c r="D321" s="20" t="s">
        <v>1096</v>
      </c>
      <c r="E321" s="20" t="s">
        <v>148</v>
      </c>
      <c r="F321" s="6">
        <f>F322</f>
        <v>0</v>
      </c>
      <c r="G321" s="6">
        <f>G322</f>
        <v>0</v>
      </c>
    </row>
    <row r="322" spans="1:7" ht="47.25" hidden="1" x14ac:dyDescent="0.25">
      <c r="A322" s="25" t="s">
        <v>149</v>
      </c>
      <c r="B322" s="20" t="s">
        <v>250</v>
      </c>
      <c r="C322" s="20" t="s">
        <v>134</v>
      </c>
      <c r="D322" s="20" t="s">
        <v>1096</v>
      </c>
      <c r="E322" s="20" t="s">
        <v>150</v>
      </c>
      <c r="F322" s="6">
        <f>'пр.5.1.ведом.21-22'!G897</f>
        <v>0</v>
      </c>
      <c r="G322" s="6">
        <f>'пр.5.1.ведом.21-22'!H897</f>
        <v>0</v>
      </c>
    </row>
    <row r="323" spans="1:7" ht="15.75" hidden="1" x14ac:dyDescent="0.25">
      <c r="A323" s="25" t="s">
        <v>151</v>
      </c>
      <c r="B323" s="20" t="s">
        <v>250</v>
      </c>
      <c r="C323" s="20" t="s">
        <v>134</v>
      </c>
      <c r="D323" s="20" t="s">
        <v>1096</v>
      </c>
      <c r="E323" s="20" t="s">
        <v>161</v>
      </c>
      <c r="F323" s="6">
        <f>'Пр.3 Рд,пр, ЦС,ВР 20'!F337</f>
        <v>0</v>
      </c>
      <c r="G323" s="6">
        <f t="shared" si="20"/>
        <v>0</v>
      </c>
    </row>
    <row r="324" spans="1:7" ht="63" hidden="1" x14ac:dyDescent="0.25">
      <c r="A324" s="25" t="s">
        <v>200</v>
      </c>
      <c r="B324" s="20" t="s">
        <v>250</v>
      </c>
      <c r="C324" s="20" t="s">
        <v>134</v>
      </c>
      <c r="D324" s="20" t="s">
        <v>1096</v>
      </c>
      <c r="E324" s="20" t="s">
        <v>176</v>
      </c>
      <c r="F324" s="6">
        <f>'Пр.3 Рд,пр, ЦС,ВР 20'!F338</f>
        <v>0</v>
      </c>
      <c r="G324" s="6">
        <f t="shared" si="20"/>
        <v>0</v>
      </c>
    </row>
    <row r="325" spans="1:7" ht="31.5" x14ac:dyDescent="0.25">
      <c r="A325" s="29" t="s">
        <v>414</v>
      </c>
      <c r="B325" s="20" t="s">
        <v>250</v>
      </c>
      <c r="C325" s="20" t="s">
        <v>134</v>
      </c>
      <c r="D325" s="20" t="s">
        <v>1097</v>
      </c>
      <c r="E325" s="24"/>
      <c r="F325" s="6">
        <f>F326</f>
        <v>4290.3999999999996</v>
      </c>
      <c r="G325" s="6">
        <f>G326</f>
        <v>4290.3999999999996</v>
      </c>
    </row>
    <row r="326" spans="1:7" ht="31.5" x14ac:dyDescent="0.25">
      <c r="A326" s="25" t="s">
        <v>147</v>
      </c>
      <c r="B326" s="20" t="s">
        <v>250</v>
      </c>
      <c r="C326" s="20" t="s">
        <v>134</v>
      </c>
      <c r="D326" s="20" t="s">
        <v>1097</v>
      </c>
      <c r="E326" s="20" t="s">
        <v>148</v>
      </c>
      <c r="F326" s="6">
        <f>F327</f>
        <v>4290.3999999999996</v>
      </c>
      <c r="G326" s="6">
        <f>G327</f>
        <v>4290.3999999999996</v>
      </c>
    </row>
    <row r="327" spans="1:7" ht="47.25" x14ac:dyDescent="0.25">
      <c r="A327" s="25" t="s">
        <v>149</v>
      </c>
      <c r="B327" s="20" t="s">
        <v>250</v>
      </c>
      <c r="C327" s="20" t="s">
        <v>134</v>
      </c>
      <c r="D327" s="20" t="s">
        <v>1097</v>
      </c>
      <c r="E327" s="20" t="s">
        <v>150</v>
      </c>
      <c r="F327" s="6">
        <f>'пр.5.1.ведом.21-22'!G902+'пр.5.1.ведом.21-22'!G531</f>
        <v>4290.3999999999996</v>
      </c>
      <c r="G327" s="6">
        <f>'пр.5.1.ведом.21-22'!H902+'пр.5.1.ведом.21-22'!H531</f>
        <v>4290.3999999999996</v>
      </c>
    </row>
    <row r="328" spans="1:7" ht="47.25" x14ac:dyDescent="0.25">
      <c r="A328" s="29" t="s">
        <v>1005</v>
      </c>
      <c r="B328" s="20" t="s">
        <v>250</v>
      </c>
      <c r="C328" s="20" t="s">
        <v>134</v>
      </c>
      <c r="D328" s="20" t="s">
        <v>1098</v>
      </c>
      <c r="E328" s="24"/>
      <c r="F328" s="6">
        <f>F329</f>
        <v>2050.6</v>
      </c>
      <c r="G328" s="6">
        <f>G329</f>
        <v>2050.6</v>
      </c>
    </row>
    <row r="329" spans="1:7" ht="31.5" x14ac:dyDescent="0.25">
      <c r="A329" s="25" t="s">
        <v>147</v>
      </c>
      <c r="B329" s="20" t="s">
        <v>250</v>
      </c>
      <c r="C329" s="20" t="s">
        <v>134</v>
      </c>
      <c r="D329" s="20" t="s">
        <v>1098</v>
      </c>
      <c r="E329" s="20" t="s">
        <v>148</v>
      </c>
      <c r="F329" s="6">
        <f>F330</f>
        <v>2050.6</v>
      </c>
      <c r="G329" s="6">
        <f>G330</f>
        <v>2050.6</v>
      </c>
    </row>
    <row r="330" spans="1:7" ht="47.25" x14ac:dyDescent="0.25">
      <c r="A330" s="25" t="s">
        <v>149</v>
      </c>
      <c r="B330" s="20" t="s">
        <v>250</v>
      </c>
      <c r="C330" s="20" t="s">
        <v>134</v>
      </c>
      <c r="D330" s="20" t="s">
        <v>1098</v>
      </c>
      <c r="E330" s="20" t="s">
        <v>150</v>
      </c>
      <c r="F330" s="6">
        <f>'пр.5.1.ведом.21-22'!G534+'пр.5.1.ведом.21-22'!G905</f>
        <v>2050.6</v>
      </c>
      <c r="G330" s="6">
        <f>'пр.5.1.ведом.21-22'!H534+'пр.5.1.ведом.21-22'!H905</f>
        <v>2050.6</v>
      </c>
    </row>
    <row r="331" spans="1:7" ht="15.75" x14ac:dyDescent="0.25">
      <c r="A331" s="23" t="s">
        <v>533</v>
      </c>
      <c r="B331" s="24" t="s">
        <v>250</v>
      </c>
      <c r="C331" s="24" t="s">
        <v>229</v>
      </c>
      <c r="D331" s="24"/>
      <c r="E331" s="24"/>
      <c r="F331" s="4">
        <f>F361+F332+F390</f>
        <v>5935</v>
      </c>
      <c r="G331" s="4">
        <f>G361+G332+G390</f>
        <v>4693.3999999999996</v>
      </c>
    </row>
    <row r="332" spans="1:7" ht="15.75" x14ac:dyDescent="0.25">
      <c r="A332" s="23" t="s">
        <v>157</v>
      </c>
      <c r="B332" s="24" t="s">
        <v>250</v>
      </c>
      <c r="C332" s="24" t="s">
        <v>229</v>
      </c>
      <c r="D332" s="24" t="s">
        <v>912</v>
      </c>
      <c r="E332" s="24"/>
      <c r="F332" s="4">
        <f>F333+F344</f>
        <v>5000</v>
      </c>
      <c r="G332" s="4">
        <f>G333+G344</f>
        <v>3789.4</v>
      </c>
    </row>
    <row r="333" spans="1:7" ht="31.5" x14ac:dyDescent="0.25">
      <c r="A333" s="23" t="s">
        <v>916</v>
      </c>
      <c r="B333" s="24" t="s">
        <v>250</v>
      </c>
      <c r="C333" s="24" t="s">
        <v>229</v>
      </c>
      <c r="D333" s="24" t="s">
        <v>911</v>
      </c>
      <c r="E333" s="24"/>
      <c r="F333" s="4">
        <f>F334+F339</f>
        <v>5000</v>
      </c>
      <c r="G333" s="4">
        <f>G334+G339</f>
        <v>3789.4</v>
      </c>
    </row>
    <row r="334" spans="1:7" ht="31.5" hidden="1" x14ac:dyDescent="0.25">
      <c r="A334" s="35" t="s">
        <v>553</v>
      </c>
      <c r="B334" s="20" t="s">
        <v>250</v>
      </c>
      <c r="C334" s="20" t="s">
        <v>229</v>
      </c>
      <c r="D334" s="20" t="s">
        <v>1115</v>
      </c>
      <c r="E334" s="20"/>
      <c r="F334" s="6">
        <f>F335+F337</f>
        <v>0</v>
      </c>
      <c r="G334" s="6">
        <f t="shared" si="20"/>
        <v>0</v>
      </c>
    </row>
    <row r="335" spans="1:7" ht="31.5" hidden="1" x14ac:dyDescent="0.25">
      <c r="A335" s="25" t="s">
        <v>147</v>
      </c>
      <c r="B335" s="20" t="s">
        <v>250</v>
      </c>
      <c r="C335" s="20" t="s">
        <v>229</v>
      </c>
      <c r="D335" s="20" t="s">
        <v>1115</v>
      </c>
      <c r="E335" s="20" t="s">
        <v>148</v>
      </c>
      <c r="F335" s="6">
        <f>F336</f>
        <v>0</v>
      </c>
      <c r="G335" s="6">
        <f t="shared" si="20"/>
        <v>0</v>
      </c>
    </row>
    <row r="336" spans="1:7" ht="47.25" hidden="1" x14ac:dyDescent="0.25">
      <c r="A336" s="25" t="s">
        <v>149</v>
      </c>
      <c r="B336" s="20" t="s">
        <v>250</v>
      </c>
      <c r="C336" s="20" t="s">
        <v>229</v>
      </c>
      <c r="D336" s="20" t="s">
        <v>1115</v>
      </c>
      <c r="E336" s="20" t="s">
        <v>150</v>
      </c>
      <c r="F336" s="6">
        <f>'пр.5.1.ведом.21-22'!G911</f>
        <v>0</v>
      </c>
      <c r="G336" s="6">
        <f t="shared" si="20"/>
        <v>0</v>
      </c>
    </row>
    <row r="337" spans="1:7" ht="15.75" hidden="1" x14ac:dyDescent="0.25">
      <c r="A337" s="25" t="s">
        <v>151</v>
      </c>
      <c r="B337" s="20" t="s">
        <v>250</v>
      </c>
      <c r="C337" s="20" t="s">
        <v>229</v>
      </c>
      <c r="D337" s="20" t="s">
        <v>1115</v>
      </c>
      <c r="E337" s="20" t="s">
        <v>161</v>
      </c>
      <c r="F337" s="6">
        <f>F338</f>
        <v>0</v>
      </c>
      <c r="G337" s="6">
        <f t="shared" si="20"/>
        <v>0</v>
      </c>
    </row>
    <row r="338" spans="1:7" ht="63" hidden="1" x14ac:dyDescent="0.25">
      <c r="A338" s="25" t="s">
        <v>200</v>
      </c>
      <c r="B338" s="20" t="s">
        <v>250</v>
      </c>
      <c r="C338" s="20" t="s">
        <v>229</v>
      </c>
      <c r="D338" s="20" t="s">
        <v>1115</v>
      </c>
      <c r="E338" s="20" t="s">
        <v>176</v>
      </c>
      <c r="F338" s="6">
        <f>'пр.5.1.ведом.21-22'!G913</f>
        <v>0</v>
      </c>
      <c r="G338" s="6">
        <f t="shared" si="20"/>
        <v>0</v>
      </c>
    </row>
    <row r="339" spans="1:7" ht="47.25" x14ac:dyDescent="0.25">
      <c r="A339" s="29" t="s">
        <v>1005</v>
      </c>
      <c r="B339" s="20" t="s">
        <v>250</v>
      </c>
      <c r="C339" s="20" t="s">
        <v>229</v>
      </c>
      <c r="D339" s="20" t="s">
        <v>1098</v>
      </c>
      <c r="E339" s="20"/>
      <c r="F339" s="6">
        <f>F340</f>
        <v>5000</v>
      </c>
      <c r="G339" s="6">
        <f>G340</f>
        <v>3789.4</v>
      </c>
    </row>
    <row r="340" spans="1:7" ht="31.5" x14ac:dyDescent="0.25">
      <c r="A340" s="25" t="s">
        <v>147</v>
      </c>
      <c r="B340" s="20" t="s">
        <v>250</v>
      </c>
      <c r="C340" s="20" t="s">
        <v>229</v>
      </c>
      <c r="D340" s="20" t="s">
        <v>1098</v>
      </c>
      <c r="E340" s="20" t="s">
        <v>148</v>
      </c>
      <c r="F340" s="6">
        <f>F341</f>
        <v>5000</v>
      </c>
      <c r="G340" s="6">
        <f>G341</f>
        <v>3789.4</v>
      </c>
    </row>
    <row r="341" spans="1:7" ht="47.25" x14ac:dyDescent="0.25">
      <c r="A341" s="25" t="s">
        <v>149</v>
      </c>
      <c r="B341" s="20" t="s">
        <v>250</v>
      </c>
      <c r="C341" s="20" t="s">
        <v>229</v>
      </c>
      <c r="D341" s="20" t="s">
        <v>1098</v>
      </c>
      <c r="E341" s="20" t="s">
        <v>150</v>
      </c>
      <c r="F341" s="6">
        <f>'пр.5.1.ведом.21-22'!G916</f>
        <v>5000</v>
      </c>
      <c r="G341" s="6">
        <f>'пр.5.1.ведом.21-22'!H916</f>
        <v>3789.4</v>
      </c>
    </row>
    <row r="342" spans="1:7" ht="15.75" hidden="1" x14ac:dyDescent="0.25">
      <c r="A342" s="25" t="s">
        <v>151</v>
      </c>
      <c r="B342" s="20" t="s">
        <v>250</v>
      </c>
      <c r="C342" s="20" t="s">
        <v>229</v>
      </c>
      <c r="D342" s="20" t="s">
        <v>1098</v>
      </c>
      <c r="E342" s="20" t="s">
        <v>161</v>
      </c>
      <c r="F342" s="6">
        <f>'Пр.3 Рд,пр, ЦС,ВР 20'!F362</f>
        <v>0</v>
      </c>
      <c r="G342" s="6">
        <f t="shared" si="20"/>
        <v>0</v>
      </c>
    </row>
    <row r="343" spans="1:7" ht="15.75" hidden="1" x14ac:dyDescent="0.25">
      <c r="A343" s="25" t="s">
        <v>162</v>
      </c>
      <c r="B343" s="20" t="s">
        <v>250</v>
      </c>
      <c r="C343" s="20" t="s">
        <v>229</v>
      </c>
      <c r="D343" s="20" t="s">
        <v>1098</v>
      </c>
      <c r="E343" s="20" t="s">
        <v>163</v>
      </c>
      <c r="F343" s="6">
        <f>'Пр.3 Рд,пр, ЦС,ВР 20'!F363</f>
        <v>0</v>
      </c>
      <c r="G343" s="6">
        <f t="shared" si="20"/>
        <v>0</v>
      </c>
    </row>
    <row r="344" spans="1:7" ht="63" hidden="1" x14ac:dyDescent="0.25">
      <c r="A344" s="23" t="s">
        <v>1171</v>
      </c>
      <c r="B344" s="24" t="s">
        <v>250</v>
      </c>
      <c r="C344" s="24" t="s">
        <v>229</v>
      </c>
      <c r="D344" s="24" t="s">
        <v>1116</v>
      </c>
      <c r="E344" s="24"/>
      <c r="F344" s="4">
        <f>F345+F350+F353+F358</f>
        <v>0</v>
      </c>
      <c r="G344" s="4">
        <f>G345+G350+G353+G358</f>
        <v>0</v>
      </c>
    </row>
    <row r="345" spans="1:7" ht="47.25" hidden="1" x14ac:dyDescent="0.25">
      <c r="A345" s="25" t="s">
        <v>873</v>
      </c>
      <c r="B345" s="20" t="s">
        <v>250</v>
      </c>
      <c r="C345" s="20" t="s">
        <v>229</v>
      </c>
      <c r="D345" s="20" t="s">
        <v>1117</v>
      </c>
      <c r="E345" s="20"/>
      <c r="F345" s="6">
        <f>F346</f>
        <v>0</v>
      </c>
      <c r="G345" s="6">
        <f t="shared" ref="G345:G389" si="23">F345</f>
        <v>0</v>
      </c>
    </row>
    <row r="346" spans="1:7" ht="31.5" hidden="1" x14ac:dyDescent="0.25">
      <c r="A346" s="25" t="s">
        <v>147</v>
      </c>
      <c r="B346" s="20" t="s">
        <v>250</v>
      </c>
      <c r="C346" s="20" t="s">
        <v>229</v>
      </c>
      <c r="D346" s="20" t="s">
        <v>1117</v>
      </c>
      <c r="E346" s="20" t="s">
        <v>148</v>
      </c>
      <c r="F346" s="6">
        <f>F347</f>
        <v>0</v>
      </c>
      <c r="G346" s="6">
        <f t="shared" si="23"/>
        <v>0</v>
      </c>
    </row>
    <row r="347" spans="1:7" ht="47.25" hidden="1" x14ac:dyDescent="0.25">
      <c r="A347" s="25" t="s">
        <v>149</v>
      </c>
      <c r="B347" s="20" t="s">
        <v>250</v>
      </c>
      <c r="C347" s="20" t="s">
        <v>229</v>
      </c>
      <c r="D347" s="20" t="s">
        <v>1117</v>
      </c>
      <c r="E347" s="20" t="s">
        <v>150</v>
      </c>
      <c r="F347" s="6">
        <f>'пр.5.1.ведом.21-22'!G922</f>
        <v>0</v>
      </c>
      <c r="G347" s="6">
        <f t="shared" si="23"/>
        <v>0</v>
      </c>
    </row>
    <row r="348" spans="1:7" ht="15.75" hidden="1" x14ac:dyDescent="0.25">
      <c r="A348" s="25" t="s">
        <v>151</v>
      </c>
      <c r="B348" s="20" t="s">
        <v>250</v>
      </c>
      <c r="C348" s="20" t="s">
        <v>229</v>
      </c>
      <c r="D348" s="20" t="s">
        <v>1117</v>
      </c>
      <c r="E348" s="20" t="s">
        <v>883</v>
      </c>
      <c r="F348" s="6">
        <f>F349</f>
        <v>0</v>
      </c>
      <c r="G348" s="6">
        <f t="shared" si="23"/>
        <v>0</v>
      </c>
    </row>
    <row r="349" spans="1:7" ht="31.5" hidden="1" x14ac:dyDescent="0.25">
      <c r="A349" s="25" t="s">
        <v>584</v>
      </c>
      <c r="B349" s="20" t="s">
        <v>250</v>
      </c>
      <c r="C349" s="20" t="s">
        <v>229</v>
      </c>
      <c r="D349" s="20" t="s">
        <v>1117</v>
      </c>
      <c r="E349" s="20" t="s">
        <v>1246</v>
      </c>
      <c r="F349" s="6">
        <f>'пр.5.1.ведом.21-22'!G924</f>
        <v>0</v>
      </c>
      <c r="G349" s="6">
        <f t="shared" si="23"/>
        <v>0</v>
      </c>
    </row>
    <row r="350" spans="1:7" ht="78.75" hidden="1" x14ac:dyDescent="0.25">
      <c r="A350" s="25" t="s">
        <v>824</v>
      </c>
      <c r="B350" s="20" t="s">
        <v>250</v>
      </c>
      <c r="C350" s="20" t="s">
        <v>229</v>
      </c>
      <c r="D350" s="20" t="s">
        <v>1118</v>
      </c>
      <c r="E350" s="20"/>
      <c r="F350" s="6">
        <f>'Пр.3 Рд,пр, ЦС,ВР 20'!F370</f>
        <v>0</v>
      </c>
      <c r="G350" s="6">
        <f t="shared" si="23"/>
        <v>0</v>
      </c>
    </row>
    <row r="351" spans="1:7" ht="31.5" hidden="1" x14ac:dyDescent="0.25">
      <c r="A351" s="25" t="s">
        <v>147</v>
      </c>
      <c r="B351" s="20" t="s">
        <v>250</v>
      </c>
      <c r="C351" s="20" t="s">
        <v>229</v>
      </c>
      <c r="D351" s="20" t="s">
        <v>1118</v>
      </c>
      <c r="E351" s="20" t="s">
        <v>148</v>
      </c>
      <c r="F351" s="6">
        <f>'Пр.3 Рд,пр, ЦС,ВР 20'!F371</f>
        <v>0</v>
      </c>
      <c r="G351" s="6">
        <f t="shared" si="23"/>
        <v>0</v>
      </c>
    </row>
    <row r="352" spans="1:7" ht="47.25" hidden="1" x14ac:dyDescent="0.25">
      <c r="A352" s="25" t="s">
        <v>149</v>
      </c>
      <c r="B352" s="20" t="s">
        <v>250</v>
      </c>
      <c r="C352" s="20" t="s">
        <v>229</v>
      </c>
      <c r="D352" s="20" t="s">
        <v>1118</v>
      </c>
      <c r="E352" s="20" t="s">
        <v>150</v>
      </c>
      <c r="F352" s="6">
        <f>'Пр.3 Рд,пр, ЦС,ВР 20'!F372</f>
        <v>0</v>
      </c>
      <c r="G352" s="6">
        <f t="shared" si="23"/>
        <v>0</v>
      </c>
    </row>
    <row r="353" spans="1:7" ht="63" hidden="1" x14ac:dyDescent="0.25">
      <c r="A353" s="98" t="s">
        <v>879</v>
      </c>
      <c r="B353" s="20" t="s">
        <v>250</v>
      </c>
      <c r="C353" s="20" t="s">
        <v>229</v>
      </c>
      <c r="D353" s="20" t="s">
        <v>1119</v>
      </c>
      <c r="E353" s="20"/>
      <c r="F353" s="6">
        <f>'Пр.3 Рд,пр, ЦС,ВР 20'!F373</f>
        <v>0</v>
      </c>
      <c r="G353" s="6">
        <f t="shared" si="23"/>
        <v>0</v>
      </c>
    </row>
    <row r="354" spans="1:7" ht="47.25" hidden="1" x14ac:dyDescent="0.25">
      <c r="A354" s="25" t="s">
        <v>884</v>
      </c>
      <c r="B354" s="20" t="s">
        <v>250</v>
      </c>
      <c r="C354" s="20" t="s">
        <v>229</v>
      </c>
      <c r="D354" s="20" t="s">
        <v>1119</v>
      </c>
      <c r="E354" s="20" t="s">
        <v>883</v>
      </c>
      <c r="F354" s="6">
        <f>'Пр.3 Рд,пр, ЦС,ВР 20'!F374</f>
        <v>0</v>
      </c>
      <c r="G354" s="6">
        <f t="shared" si="23"/>
        <v>0</v>
      </c>
    </row>
    <row r="355" spans="1:7" ht="78.75" hidden="1" x14ac:dyDescent="0.25">
      <c r="A355" s="25" t="s">
        <v>1224</v>
      </c>
      <c r="B355" s="20" t="s">
        <v>250</v>
      </c>
      <c r="C355" s="20" t="s">
        <v>229</v>
      </c>
      <c r="D355" s="20" t="s">
        <v>1119</v>
      </c>
      <c r="E355" s="20" t="s">
        <v>1246</v>
      </c>
      <c r="F355" s="6">
        <f>'Пр.3 Рд,пр, ЦС,ВР 20'!F375</f>
        <v>0</v>
      </c>
      <c r="G355" s="6">
        <f t="shared" si="23"/>
        <v>0</v>
      </c>
    </row>
    <row r="356" spans="1:7" ht="15.75" hidden="1" x14ac:dyDescent="0.25">
      <c r="A356" s="25" t="s">
        <v>151</v>
      </c>
      <c r="B356" s="20" t="s">
        <v>250</v>
      </c>
      <c r="C356" s="20" t="s">
        <v>229</v>
      </c>
      <c r="D356" s="20" t="s">
        <v>1119</v>
      </c>
      <c r="E356" s="20" t="s">
        <v>161</v>
      </c>
      <c r="F356" s="6">
        <f>'Пр.3 Рд,пр, ЦС,ВР 20'!F376</f>
        <v>0</v>
      </c>
      <c r="G356" s="6">
        <f t="shared" si="23"/>
        <v>0</v>
      </c>
    </row>
    <row r="357" spans="1:7" ht="15.75" hidden="1" x14ac:dyDescent="0.25">
      <c r="A357" s="25" t="s">
        <v>727</v>
      </c>
      <c r="B357" s="20" t="s">
        <v>250</v>
      </c>
      <c r="C357" s="20" t="s">
        <v>229</v>
      </c>
      <c r="D357" s="20" t="s">
        <v>1119</v>
      </c>
      <c r="E357" s="20" t="s">
        <v>154</v>
      </c>
      <c r="F357" s="6">
        <f>'Пр.3 Рд,пр, ЦС,ВР 20'!F377</f>
        <v>0</v>
      </c>
      <c r="G357" s="6">
        <f t="shared" si="23"/>
        <v>0</v>
      </c>
    </row>
    <row r="358" spans="1:7" ht="47.25" hidden="1" x14ac:dyDescent="0.25">
      <c r="A358" s="25" t="s">
        <v>1247</v>
      </c>
      <c r="B358" s="20" t="s">
        <v>250</v>
      </c>
      <c r="C358" s="20" t="s">
        <v>229</v>
      </c>
      <c r="D358" s="20" t="s">
        <v>1248</v>
      </c>
      <c r="E358" s="20"/>
      <c r="F358" s="6">
        <f>'Пр.3 Рд,пр, ЦС,ВР 20'!F378</f>
        <v>0</v>
      </c>
      <c r="G358" s="6">
        <f t="shared" si="23"/>
        <v>0</v>
      </c>
    </row>
    <row r="359" spans="1:7" ht="31.5" hidden="1" x14ac:dyDescent="0.25">
      <c r="A359" s="25" t="s">
        <v>147</v>
      </c>
      <c r="B359" s="20" t="s">
        <v>250</v>
      </c>
      <c r="C359" s="20" t="s">
        <v>229</v>
      </c>
      <c r="D359" s="20" t="s">
        <v>1248</v>
      </c>
      <c r="E359" s="20" t="s">
        <v>148</v>
      </c>
      <c r="F359" s="6">
        <f>'Пр.3 Рд,пр, ЦС,ВР 20'!F379</f>
        <v>0</v>
      </c>
      <c r="G359" s="6">
        <f t="shared" si="23"/>
        <v>0</v>
      </c>
    </row>
    <row r="360" spans="1:7" ht="47.25" hidden="1" x14ac:dyDescent="0.25">
      <c r="A360" s="25" t="s">
        <v>149</v>
      </c>
      <c r="B360" s="20" t="s">
        <v>250</v>
      </c>
      <c r="C360" s="20" t="s">
        <v>229</v>
      </c>
      <c r="D360" s="20" t="s">
        <v>1248</v>
      </c>
      <c r="E360" s="20" t="s">
        <v>150</v>
      </c>
      <c r="F360" s="6">
        <f>'Пр.3 Рд,пр, ЦС,ВР 20'!F380</f>
        <v>0</v>
      </c>
      <c r="G360" s="6">
        <f t="shared" si="23"/>
        <v>0</v>
      </c>
    </row>
    <row r="361" spans="1:7" ht="78.75" x14ac:dyDescent="0.25">
      <c r="A361" s="23" t="s">
        <v>1356</v>
      </c>
      <c r="B361" s="24" t="s">
        <v>250</v>
      </c>
      <c r="C361" s="24" t="s">
        <v>229</v>
      </c>
      <c r="D361" s="24" t="s">
        <v>534</v>
      </c>
      <c r="E361" s="24"/>
      <c r="F361" s="4">
        <f>F362+F366+F370+F374+F378+F382+F386</f>
        <v>700</v>
      </c>
      <c r="G361" s="4">
        <f>G362+G366+G370+G374+G378+G382+G386</f>
        <v>700</v>
      </c>
    </row>
    <row r="362" spans="1:7" ht="31.5" x14ac:dyDescent="0.25">
      <c r="A362" s="23" t="s">
        <v>1099</v>
      </c>
      <c r="B362" s="24" t="s">
        <v>250</v>
      </c>
      <c r="C362" s="24" t="s">
        <v>229</v>
      </c>
      <c r="D362" s="24" t="s">
        <v>1101</v>
      </c>
      <c r="E362" s="24"/>
      <c r="F362" s="4">
        <f t="shared" ref="F362:G364" si="24">F363</f>
        <v>700</v>
      </c>
      <c r="G362" s="4">
        <f t="shared" si="24"/>
        <v>700</v>
      </c>
    </row>
    <row r="363" spans="1:7" ht="15.75" x14ac:dyDescent="0.25">
      <c r="A363" s="45" t="s">
        <v>1100</v>
      </c>
      <c r="B363" s="40" t="s">
        <v>250</v>
      </c>
      <c r="C363" s="40" t="s">
        <v>229</v>
      </c>
      <c r="D363" s="20" t="s">
        <v>1102</v>
      </c>
      <c r="E363" s="40"/>
      <c r="F363" s="6">
        <f t="shared" si="24"/>
        <v>700</v>
      </c>
      <c r="G363" s="6">
        <f t="shared" si="24"/>
        <v>700</v>
      </c>
    </row>
    <row r="364" spans="1:7" ht="31.5" x14ac:dyDescent="0.25">
      <c r="A364" s="31" t="s">
        <v>147</v>
      </c>
      <c r="B364" s="40" t="s">
        <v>250</v>
      </c>
      <c r="C364" s="40" t="s">
        <v>229</v>
      </c>
      <c r="D364" s="20" t="s">
        <v>1102</v>
      </c>
      <c r="E364" s="40" t="s">
        <v>148</v>
      </c>
      <c r="F364" s="6">
        <f t="shared" si="24"/>
        <v>700</v>
      </c>
      <c r="G364" s="6">
        <f t="shared" si="24"/>
        <v>700</v>
      </c>
    </row>
    <row r="365" spans="1:7" ht="47.25" x14ac:dyDescent="0.25">
      <c r="A365" s="31" t="s">
        <v>149</v>
      </c>
      <c r="B365" s="40" t="s">
        <v>250</v>
      </c>
      <c r="C365" s="40" t="s">
        <v>229</v>
      </c>
      <c r="D365" s="20" t="s">
        <v>1102</v>
      </c>
      <c r="E365" s="40" t="s">
        <v>150</v>
      </c>
      <c r="F365" s="6">
        <f>'пр.5.1.ведом.21-22'!G940</f>
        <v>700</v>
      </c>
      <c r="G365" s="6">
        <f>'пр.5.1.ведом.21-22'!H940</f>
        <v>700</v>
      </c>
    </row>
    <row r="366" spans="1:7" ht="31.5" hidden="1" x14ac:dyDescent="0.25">
      <c r="A366" s="34" t="s">
        <v>1103</v>
      </c>
      <c r="B366" s="7" t="s">
        <v>250</v>
      </c>
      <c r="C366" s="7" t="s">
        <v>229</v>
      </c>
      <c r="D366" s="24" t="s">
        <v>1104</v>
      </c>
      <c r="E366" s="7"/>
      <c r="F366" s="4">
        <f t="shared" ref="F366:G368" si="25">F367</f>
        <v>0</v>
      </c>
      <c r="G366" s="4">
        <f t="shared" si="25"/>
        <v>0</v>
      </c>
    </row>
    <row r="367" spans="1:7" ht="15.75" hidden="1" x14ac:dyDescent="0.25">
      <c r="A367" s="45" t="s">
        <v>539</v>
      </c>
      <c r="B367" s="40" t="s">
        <v>250</v>
      </c>
      <c r="C367" s="40" t="s">
        <v>229</v>
      </c>
      <c r="D367" s="20" t="s">
        <v>1107</v>
      </c>
      <c r="E367" s="40"/>
      <c r="F367" s="6">
        <f t="shared" si="25"/>
        <v>0</v>
      </c>
      <c r="G367" s="6">
        <f t="shared" si="25"/>
        <v>0</v>
      </c>
    </row>
    <row r="368" spans="1:7" ht="31.5" hidden="1" x14ac:dyDescent="0.25">
      <c r="A368" s="31" t="s">
        <v>147</v>
      </c>
      <c r="B368" s="40" t="s">
        <v>250</v>
      </c>
      <c r="C368" s="40" t="s">
        <v>229</v>
      </c>
      <c r="D368" s="20" t="s">
        <v>1107</v>
      </c>
      <c r="E368" s="40" t="s">
        <v>148</v>
      </c>
      <c r="F368" s="6">
        <f t="shared" si="25"/>
        <v>0</v>
      </c>
      <c r="G368" s="6">
        <f t="shared" si="25"/>
        <v>0</v>
      </c>
    </row>
    <row r="369" spans="1:7" ht="47.25" hidden="1" x14ac:dyDescent="0.25">
      <c r="A369" s="31" t="s">
        <v>149</v>
      </c>
      <c r="B369" s="40" t="s">
        <v>250</v>
      </c>
      <c r="C369" s="40" t="s">
        <v>229</v>
      </c>
      <c r="D369" s="20" t="s">
        <v>1107</v>
      </c>
      <c r="E369" s="40" t="s">
        <v>150</v>
      </c>
      <c r="F369" s="6">
        <f>'пр.5.1.ведом.21-22'!G944</f>
        <v>0</v>
      </c>
      <c r="G369" s="6">
        <f>'пр.5.1.ведом.21-22'!H944</f>
        <v>0</v>
      </c>
    </row>
    <row r="370" spans="1:7" ht="31.5" hidden="1" x14ac:dyDescent="0.25">
      <c r="A370" s="58" t="s">
        <v>1105</v>
      </c>
      <c r="B370" s="7" t="s">
        <v>250</v>
      </c>
      <c r="C370" s="7" t="s">
        <v>229</v>
      </c>
      <c r="D370" s="24" t="s">
        <v>1106</v>
      </c>
      <c r="E370" s="7"/>
      <c r="F370" s="4">
        <f>F371</f>
        <v>0</v>
      </c>
      <c r="G370" s="4">
        <f>G371</f>
        <v>0</v>
      </c>
    </row>
    <row r="371" spans="1:7" ht="15.75" hidden="1" x14ac:dyDescent="0.25">
      <c r="A371" s="45" t="s">
        <v>541</v>
      </c>
      <c r="B371" s="40" t="s">
        <v>250</v>
      </c>
      <c r="C371" s="40" t="s">
        <v>229</v>
      </c>
      <c r="D371" s="20" t="s">
        <v>1108</v>
      </c>
      <c r="E371" s="40"/>
      <c r="F371" s="6">
        <f>'Пр.3 Рд,пр, ЦС,ВР 20'!F391</f>
        <v>0</v>
      </c>
      <c r="G371" s="6">
        <f t="shared" si="23"/>
        <v>0</v>
      </c>
    </row>
    <row r="372" spans="1:7" ht="31.5" hidden="1" x14ac:dyDescent="0.25">
      <c r="A372" s="31" t="s">
        <v>147</v>
      </c>
      <c r="B372" s="40" t="s">
        <v>250</v>
      </c>
      <c r="C372" s="40" t="s">
        <v>229</v>
      </c>
      <c r="D372" s="20" t="s">
        <v>1108</v>
      </c>
      <c r="E372" s="40" t="s">
        <v>148</v>
      </c>
      <c r="F372" s="6">
        <f>'Пр.3 Рд,пр, ЦС,ВР 20'!F392</f>
        <v>0</v>
      </c>
      <c r="G372" s="6">
        <f t="shared" si="23"/>
        <v>0</v>
      </c>
    </row>
    <row r="373" spans="1:7" ht="47.25" hidden="1" x14ac:dyDescent="0.25">
      <c r="A373" s="31" t="s">
        <v>149</v>
      </c>
      <c r="B373" s="40" t="s">
        <v>250</v>
      </c>
      <c r="C373" s="40" t="s">
        <v>229</v>
      </c>
      <c r="D373" s="20" t="s">
        <v>1108</v>
      </c>
      <c r="E373" s="40" t="s">
        <v>150</v>
      </c>
      <c r="F373" s="6">
        <f>'Пр.3 Рд,пр, ЦС,ВР 20'!F393</f>
        <v>0</v>
      </c>
      <c r="G373" s="6">
        <f t="shared" si="23"/>
        <v>0</v>
      </c>
    </row>
    <row r="374" spans="1:7" ht="31.5" hidden="1" x14ac:dyDescent="0.25">
      <c r="A374" s="58" t="s">
        <v>1109</v>
      </c>
      <c r="B374" s="7" t="s">
        <v>250</v>
      </c>
      <c r="C374" s="7" t="s">
        <v>229</v>
      </c>
      <c r="D374" s="24" t="s">
        <v>1110</v>
      </c>
      <c r="E374" s="7"/>
      <c r="F374" s="4">
        <f t="shared" ref="F374:G376" si="26">F375</f>
        <v>0</v>
      </c>
      <c r="G374" s="4">
        <f t="shared" si="26"/>
        <v>0</v>
      </c>
    </row>
    <row r="375" spans="1:7" ht="31.5" hidden="1" x14ac:dyDescent="0.25">
      <c r="A375" s="45" t="s">
        <v>543</v>
      </c>
      <c r="B375" s="40" t="s">
        <v>250</v>
      </c>
      <c r="C375" s="40" t="s">
        <v>229</v>
      </c>
      <c r="D375" s="20" t="s">
        <v>1111</v>
      </c>
      <c r="E375" s="40"/>
      <c r="F375" s="6">
        <f t="shared" si="26"/>
        <v>0</v>
      </c>
      <c r="G375" s="6">
        <f t="shared" si="26"/>
        <v>0</v>
      </c>
    </row>
    <row r="376" spans="1:7" ht="31.5" hidden="1" x14ac:dyDescent="0.25">
      <c r="A376" s="31" t="s">
        <v>147</v>
      </c>
      <c r="B376" s="40" t="s">
        <v>250</v>
      </c>
      <c r="C376" s="40" t="s">
        <v>229</v>
      </c>
      <c r="D376" s="20" t="s">
        <v>1111</v>
      </c>
      <c r="E376" s="40" t="s">
        <v>148</v>
      </c>
      <c r="F376" s="6">
        <f t="shared" si="26"/>
        <v>0</v>
      </c>
      <c r="G376" s="6">
        <f t="shared" si="26"/>
        <v>0</v>
      </c>
    </row>
    <row r="377" spans="1:7" ht="47.25" hidden="1" x14ac:dyDescent="0.25">
      <c r="A377" s="31" t="s">
        <v>149</v>
      </c>
      <c r="B377" s="40" t="s">
        <v>250</v>
      </c>
      <c r="C377" s="40" t="s">
        <v>229</v>
      </c>
      <c r="D377" s="20" t="s">
        <v>1111</v>
      </c>
      <c r="E377" s="40" t="s">
        <v>150</v>
      </c>
      <c r="F377" s="6">
        <f>'пр.5.1.ведом.21-22'!G948</f>
        <v>0</v>
      </c>
      <c r="G377" s="6">
        <f t="shared" si="23"/>
        <v>0</v>
      </c>
    </row>
    <row r="378" spans="1:7" ht="31.5" hidden="1" x14ac:dyDescent="0.25">
      <c r="A378" s="34" t="s">
        <v>1172</v>
      </c>
      <c r="B378" s="7" t="s">
        <v>250</v>
      </c>
      <c r="C378" s="7" t="s">
        <v>229</v>
      </c>
      <c r="D378" s="24" t="s">
        <v>1173</v>
      </c>
      <c r="E378" s="7"/>
      <c r="F378" s="4">
        <f>F379</f>
        <v>0</v>
      </c>
      <c r="G378" s="4">
        <f>G379</f>
        <v>0</v>
      </c>
    </row>
    <row r="379" spans="1:7" ht="15.75" hidden="1" x14ac:dyDescent="0.25">
      <c r="A379" s="45" t="s">
        <v>545</v>
      </c>
      <c r="B379" s="40" t="s">
        <v>250</v>
      </c>
      <c r="C379" s="40" t="s">
        <v>229</v>
      </c>
      <c r="D379" s="20" t="s">
        <v>1176</v>
      </c>
      <c r="E379" s="40"/>
      <c r="F379" s="6">
        <f>'Пр.3 Рд,пр, ЦС,ВР 20'!F399</f>
        <v>0</v>
      </c>
      <c r="G379" s="6">
        <f t="shared" si="23"/>
        <v>0</v>
      </c>
    </row>
    <row r="380" spans="1:7" ht="31.5" hidden="1" x14ac:dyDescent="0.25">
      <c r="A380" s="31" t="s">
        <v>147</v>
      </c>
      <c r="B380" s="40" t="s">
        <v>250</v>
      </c>
      <c r="C380" s="40" t="s">
        <v>229</v>
      </c>
      <c r="D380" s="20" t="s">
        <v>1176</v>
      </c>
      <c r="E380" s="40" t="s">
        <v>148</v>
      </c>
      <c r="F380" s="6">
        <f>'Пр.3 Рд,пр, ЦС,ВР 20'!F400</f>
        <v>0</v>
      </c>
      <c r="G380" s="6">
        <f t="shared" si="23"/>
        <v>0</v>
      </c>
    </row>
    <row r="381" spans="1:7" ht="47.25" hidden="1" x14ac:dyDescent="0.25">
      <c r="A381" s="31" t="s">
        <v>149</v>
      </c>
      <c r="B381" s="40" t="s">
        <v>250</v>
      </c>
      <c r="C381" s="40" t="s">
        <v>229</v>
      </c>
      <c r="D381" s="20" t="s">
        <v>1176</v>
      </c>
      <c r="E381" s="40" t="s">
        <v>150</v>
      </c>
      <c r="F381" s="6">
        <f>'Пр.3 Рд,пр, ЦС,ВР 20'!F401</f>
        <v>0</v>
      </c>
      <c r="G381" s="6">
        <f t="shared" si="23"/>
        <v>0</v>
      </c>
    </row>
    <row r="382" spans="1:7" ht="47.25" hidden="1" x14ac:dyDescent="0.25">
      <c r="A382" s="232" t="s">
        <v>1174</v>
      </c>
      <c r="B382" s="7" t="s">
        <v>250</v>
      </c>
      <c r="C382" s="7" t="s">
        <v>229</v>
      </c>
      <c r="D382" s="24" t="s">
        <v>1175</v>
      </c>
      <c r="E382" s="7"/>
      <c r="F382" s="4">
        <f>F383</f>
        <v>0</v>
      </c>
      <c r="G382" s="4">
        <f>G383</f>
        <v>0</v>
      </c>
    </row>
    <row r="383" spans="1:7" ht="31.5" hidden="1" x14ac:dyDescent="0.25">
      <c r="A383" s="178" t="s">
        <v>547</v>
      </c>
      <c r="B383" s="40" t="s">
        <v>250</v>
      </c>
      <c r="C383" s="40" t="s">
        <v>229</v>
      </c>
      <c r="D383" s="20" t="s">
        <v>1177</v>
      </c>
      <c r="E383" s="40"/>
      <c r="F383" s="6">
        <f>'Пр.3 Рд,пр, ЦС,ВР 20'!F403</f>
        <v>0</v>
      </c>
      <c r="G383" s="6">
        <f t="shared" si="23"/>
        <v>0</v>
      </c>
    </row>
    <row r="384" spans="1:7" ht="31.5" hidden="1" x14ac:dyDescent="0.25">
      <c r="A384" s="31" t="s">
        <v>147</v>
      </c>
      <c r="B384" s="40" t="s">
        <v>250</v>
      </c>
      <c r="C384" s="40" t="s">
        <v>229</v>
      </c>
      <c r="D384" s="20" t="s">
        <v>1177</v>
      </c>
      <c r="E384" s="40" t="s">
        <v>148</v>
      </c>
      <c r="F384" s="6">
        <f>'Пр.3 Рд,пр, ЦС,ВР 20'!F404</f>
        <v>0</v>
      </c>
      <c r="G384" s="6">
        <f t="shared" si="23"/>
        <v>0</v>
      </c>
    </row>
    <row r="385" spans="1:7" ht="47.25" hidden="1" x14ac:dyDescent="0.25">
      <c r="A385" s="31" t="s">
        <v>149</v>
      </c>
      <c r="B385" s="40" t="s">
        <v>250</v>
      </c>
      <c r="C385" s="40" t="s">
        <v>229</v>
      </c>
      <c r="D385" s="20" t="s">
        <v>1177</v>
      </c>
      <c r="E385" s="40" t="s">
        <v>150</v>
      </c>
      <c r="F385" s="6">
        <f>'Пр.3 Рд,пр, ЦС,ВР 20'!F405</f>
        <v>0</v>
      </c>
      <c r="G385" s="6">
        <f t="shared" si="23"/>
        <v>0</v>
      </c>
    </row>
    <row r="386" spans="1:7" ht="31.5" hidden="1" x14ac:dyDescent="0.25">
      <c r="A386" s="232" t="s">
        <v>1113</v>
      </c>
      <c r="B386" s="7" t="s">
        <v>250</v>
      </c>
      <c r="C386" s="7" t="s">
        <v>229</v>
      </c>
      <c r="D386" s="24" t="s">
        <v>1114</v>
      </c>
      <c r="E386" s="7"/>
      <c r="F386" s="4">
        <f>F387</f>
        <v>0</v>
      </c>
      <c r="G386" s="4">
        <f>G387</f>
        <v>0</v>
      </c>
    </row>
    <row r="387" spans="1:7" ht="31.5" hidden="1" x14ac:dyDescent="0.25">
      <c r="A387" s="178" t="s">
        <v>549</v>
      </c>
      <c r="B387" s="40" t="s">
        <v>250</v>
      </c>
      <c r="C387" s="40" t="s">
        <v>229</v>
      </c>
      <c r="D387" s="20" t="s">
        <v>1112</v>
      </c>
      <c r="E387" s="40"/>
      <c r="F387" s="6">
        <f>'Пр.3 Рд,пр, ЦС,ВР 20'!F407</f>
        <v>0</v>
      </c>
      <c r="G387" s="6">
        <f t="shared" si="23"/>
        <v>0</v>
      </c>
    </row>
    <row r="388" spans="1:7" ht="31.5" hidden="1" x14ac:dyDescent="0.25">
      <c r="A388" s="25" t="s">
        <v>147</v>
      </c>
      <c r="B388" s="40" t="s">
        <v>250</v>
      </c>
      <c r="C388" s="40" t="s">
        <v>229</v>
      </c>
      <c r="D388" s="20" t="s">
        <v>1112</v>
      </c>
      <c r="E388" s="40" t="s">
        <v>148</v>
      </c>
      <c r="F388" s="6">
        <f>'Пр.3 Рд,пр, ЦС,ВР 20'!F408</f>
        <v>0</v>
      </c>
      <c r="G388" s="6">
        <f t="shared" si="23"/>
        <v>0</v>
      </c>
    </row>
    <row r="389" spans="1:7" ht="47.25" hidden="1" x14ac:dyDescent="0.25">
      <c r="A389" s="25" t="s">
        <v>149</v>
      </c>
      <c r="B389" s="40" t="s">
        <v>250</v>
      </c>
      <c r="C389" s="40" t="s">
        <v>229</v>
      </c>
      <c r="D389" s="20" t="s">
        <v>1112</v>
      </c>
      <c r="E389" s="40" t="s">
        <v>150</v>
      </c>
      <c r="F389" s="6">
        <f>'Пр.3 Рд,пр, ЦС,ВР 20'!F409</f>
        <v>0</v>
      </c>
      <c r="G389" s="6">
        <f t="shared" si="23"/>
        <v>0</v>
      </c>
    </row>
    <row r="390" spans="1:7" s="217" customFormat="1" ht="47.25" x14ac:dyDescent="0.25">
      <c r="A390" s="23" t="s">
        <v>1363</v>
      </c>
      <c r="B390" s="7" t="s">
        <v>250</v>
      </c>
      <c r="C390" s="7" t="s">
        <v>229</v>
      </c>
      <c r="D390" s="24" t="s">
        <v>1362</v>
      </c>
      <c r="E390" s="7"/>
      <c r="F390" s="4">
        <f t="shared" ref="F390:G393" si="27">F391</f>
        <v>235</v>
      </c>
      <c r="G390" s="4">
        <f t="shared" si="27"/>
        <v>204</v>
      </c>
    </row>
    <row r="391" spans="1:7" s="217" customFormat="1" ht="31.5" x14ac:dyDescent="0.25">
      <c r="A391" s="23" t="s">
        <v>1364</v>
      </c>
      <c r="B391" s="7" t="s">
        <v>250</v>
      </c>
      <c r="C391" s="7" t="s">
        <v>229</v>
      </c>
      <c r="D391" s="24" t="s">
        <v>1365</v>
      </c>
      <c r="E391" s="7"/>
      <c r="F391" s="4">
        <f t="shared" si="27"/>
        <v>235</v>
      </c>
      <c r="G391" s="4">
        <f t="shared" si="27"/>
        <v>204</v>
      </c>
    </row>
    <row r="392" spans="1:7" s="217" customFormat="1" ht="31.5" x14ac:dyDescent="0.25">
      <c r="A392" s="25" t="s">
        <v>553</v>
      </c>
      <c r="B392" s="40" t="s">
        <v>250</v>
      </c>
      <c r="C392" s="40" t="s">
        <v>229</v>
      </c>
      <c r="D392" s="20" t="s">
        <v>1366</v>
      </c>
      <c r="E392" s="40"/>
      <c r="F392" s="6">
        <f t="shared" si="27"/>
        <v>235</v>
      </c>
      <c r="G392" s="6">
        <f t="shared" si="27"/>
        <v>204</v>
      </c>
    </row>
    <row r="393" spans="1:7" s="217" customFormat="1" ht="31.5" x14ac:dyDescent="0.25">
      <c r="A393" s="25" t="s">
        <v>147</v>
      </c>
      <c r="B393" s="40" t="s">
        <v>250</v>
      </c>
      <c r="C393" s="40" t="s">
        <v>229</v>
      </c>
      <c r="D393" s="20" t="s">
        <v>1366</v>
      </c>
      <c r="E393" s="40" t="s">
        <v>148</v>
      </c>
      <c r="F393" s="6">
        <f t="shared" si="27"/>
        <v>235</v>
      </c>
      <c r="G393" s="6">
        <f t="shared" si="27"/>
        <v>204</v>
      </c>
    </row>
    <row r="394" spans="1:7" s="217" customFormat="1" ht="47.25" x14ac:dyDescent="0.25">
      <c r="A394" s="25" t="s">
        <v>149</v>
      </c>
      <c r="B394" s="40" t="s">
        <v>250</v>
      </c>
      <c r="C394" s="40" t="s">
        <v>229</v>
      </c>
      <c r="D394" s="20" t="s">
        <v>1366</v>
      </c>
      <c r="E394" s="40" t="s">
        <v>150</v>
      </c>
      <c r="F394" s="6">
        <f>'пр.5.1.ведом.21-22'!G969</f>
        <v>235</v>
      </c>
      <c r="G394" s="6">
        <f>'пр.5.1.ведом.21-22'!H969</f>
        <v>204</v>
      </c>
    </row>
    <row r="395" spans="1:7" ht="15.75" x14ac:dyDescent="0.25">
      <c r="A395" s="41" t="s">
        <v>557</v>
      </c>
      <c r="B395" s="7" t="s">
        <v>250</v>
      </c>
      <c r="C395" s="7" t="s">
        <v>231</v>
      </c>
      <c r="D395" s="7"/>
      <c r="E395" s="7"/>
      <c r="F395" s="4">
        <f>F396+F401+F439</f>
        <v>4134.5</v>
      </c>
      <c r="G395" s="4">
        <f>G396+G401+G439</f>
        <v>11526.5</v>
      </c>
    </row>
    <row r="396" spans="1:7" ht="15.75" x14ac:dyDescent="0.25">
      <c r="A396" s="23" t="s">
        <v>157</v>
      </c>
      <c r="B396" s="24" t="s">
        <v>250</v>
      </c>
      <c r="C396" s="24" t="s">
        <v>231</v>
      </c>
      <c r="D396" s="24" t="s">
        <v>912</v>
      </c>
      <c r="E396" s="24"/>
      <c r="F396" s="4">
        <f t="shared" ref="F396:G399" si="28">F397</f>
        <v>390</v>
      </c>
      <c r="G396" s="4">
        <f t="shared" si="28"/>
        <v>390</v>
      </c>
    </row>
    <row r="397" spans="1:7" ht="31.5" x14ac:dyDescent="0.25">
      <c r="A397" s="23" t="s">
        <v>916</v>
      </c>
      <c r="B397" s="24" t="s">
        <v>250</v>
      </c>
      <c r="C397" s="24" t="s">
        <v>231</v>
      </c>
      <c r="D397" s="24" t="s">
        <v>911</v>
      </c>
      <c r="E397" s="24"/>
      <c r="F397" s="4">
        <f t="shared" si="28"/>
        <v>390</v>
      </c>
      <c r="G397" s="4">
        <f t="shared" si="28"/>
        <v>390</v>
      </c>
    </row>
    <row r="398" spans="1:7" ht="15.75" x14ac:dyDescent="0.25">
      <c r="A398" s="25" t="s">
        <v>580</v>
      </c>
      <c r="B398" s="20" t="s">
        <v>250</v>
      </c>
      <c r="C398" s="20" t="s">
        <v>231</v>
      </c>
      <c r="D398" s="20" t="s">
        <v>1261</v>
      </c>
      <c r="E398" s="20"/>
      <c r="F398" s="6">
        <f t="shared" si="28"/>
        <v>390</v>
      </c>
      <c r="G398" s="6">
        <f t="shared" si="28"/>
        <v>390</v>
      </c>
    </row>
    <row r="399" spans="1:7" ht="31.5" x14ac:dyDescent="0.25">
      <c r="A399" s="25" t="s">
        <v>147</v>
      </c>
      <c r="B399" s="20" t="s">
        <v>250</v>
      </c>
      <c r="C399" s="20" t="s">
        <v>231</v>
      </c>
      <c r="D399" s="20" t="s">
        <v>1261</v>
      </c>
      <c r="E399" s="20" t="s">
        <v>148</v>
      </c>
      <c r="F399" s="6">
        <f t="shared" si="28"/>
        <v>390</v>
      </c>
      <c r="G399" s="6">
        <f t="shared" si="28"/>
        <v>390</v>
      </c>
    </row>
    <row r="400" spans="1:7" ht="47.25" x14ac:dyDescent="0.25">
      <c r="A400" s="25" t="s">
        <v>149</v>
      </c>
      <c r="B400" s="20" t="s">
        <v>250</v>
      </c>
      <c r="C400" s="20" t="s">
        <v>231</v>
      </c>
      <c r="D400" s="20" t="s">
        <v>1261</v>
      </c>
      <c r="E400" s="20" t="s">
        <v>150</v>
      </c>
      <c r="F400" s="6">
        <f>'пр.5.1.ведом.21-22'!G975</f>
        <v>390</v>
      </c>
      <c r="G400" s="6">
        <f>'пр.5.1.ведом.21-22'!H975</f>
        <v>390</v>
      </c>
    </row>
    <row r="401" spans="1:7" ht="63" x14ac:dyDescent="0.25">
      <c r="A401" s="23" t="s">
        <v>1436</v>
      </c>
      <c r="B401" s="7" t="s">
        <v>250</v>
      </c>
      <c r="C401" s="7" t="s">
        <v>231</v>
      </c>
      <c r="D401" s="7" t="s">
        <v>559</v>
      </c>
      <c r="E401" s="7"/>
      <c r="F401" s="4">
        <f t="shared" ref="F401:G401" si="29">F402+F416</f>
        <v>3244.5</v>
      </c>
      <c r="G401" s="4">
        <f t="shared" si="29"/>
        <v>10636.5</v>
      </c>
    </row>
    <row r="402" spans="1:7" ht="63" x14ac:dyDescent="0.25">
      <c r="A402" s="23" t="s">
        <v>560</v>
      </c>
      <c r="B402" s="24" t="s">
        <v>250</v>
      </c>
      <c r="C402" s="24" t="s">
        <v>231</v>
      </c>
      <c r="D402" s="24" t="s">
        <v>561</v>
      </c>
      <c r="E402" s="24"/>
      <c r="F402" s="4">
        <f>F403</f>
        <v>940</v>
      </c>
      <c r="G402" s="4">
        <f>G403</f>
        <v>940</v>
      </c>
    </row>
    <row r="403" spans="1:7" ht="47.25" x14ac:dyDescent="0.25">
      <c r="A403" s="23" t="s">
        <v>1122</v>
      </c>
      <c r="B403" s="24" t="s">
        <v>250</v>
      </c>
      <c r="C403" s="24" t="s">
        <v>231</v>
      </c>
      <c r="D403" s="24" t="s">
        <v>1120</v>
      </c>
      <c r="E403" s="24"/>
      <c r="F403" s="4">
        <f>F404+F407+F413</f>
        <v>940</v>
      </c>
      <c r="G403" s="4">
        <f>G404+G407+G413</f>
        <v>940</v>
      </c>
    </row>
    <row r="404" spans="1:7" ht="31.5" x14ac:dyDescent="0.25">
      <c r="A404" s="25" t="s">
        <v>562</v>
      </c>
      <c r="B404" s="20" t="s">
        <v>250</v>
      </c>
      <c r="C404" s="20" t="s">
        <v>231</v>
      </c>
      <c r="D404" s="20" t="s">
        <v>1121</v>
      </c>
      <c r="E404" s="20"/>
      <c r="F404" s="6">
        <f>F405</f>
        <v>90</v>
      </c>
      <c r="G404" s="6">
        <f>G405</f>
        <v>90</v>
      </c>
    </row>
    <row r="405" spans="1:7" ht="31.5" x14ac:dyDescent="0.25">
      <c r="A405" s="25" t="s">
        <v>147</v>
      </c>
      <c r="B405" s="20" t="s">
        <v>250</v>
      </c>
      <c r="C405" s="20" t="s">
        <v>231</v>
      </c>
      <c r="D405" s="20" t="s">
        <v>1121</v>
      </c>
      <c r="E405" s="20" t="s">
        <v>148</v>
      </c>
      <c r="F405" s="6">
        <f>F406</f>
        <v>90</v>
      </c>
      <c r="G405" s="6">
        <f>G406</f>
        <v>90</v>
      </c>
    </row>
    <row r="406" spans="1:7" ht="47.25" x14ac:dyDescent="0.25">
      <c r="A406" s="25" t="s">
        <v>149</v>
      </c>
      <c r="B406" s="20" t="s">
        <v>250</v>
      </c>
      <c r="C406" s="20" t="s">
        <v>231</v>
      </c>
      <c r="D406" s="20" t="s">
        <v>1121</v>
      </c>
      <c r="E406" s="20" t="s">
        <v>150</v>
      </c>
      <c r="F406" s="6">
        <f>'пр.5.1.ведом.21-22'!G981</f>
        <v>90</v>
      </c>
      <c r="G406" s="6">
        <f>'пр.5.1.ведом.21-22'!H981</f>
        <v>90</v>
      </c>
    </row>
    <row r="407" spans="1:7" ht="15.75" x14ac:dyDescent="0.25">
      <c r="A407" s="25" t="s">
        <v>564</v>
      </c>
      <c r="B407" s="20" t="s">
        <v>250</v>
      </c>
      <c r="C407" s="20" t="s">
        <v>231</v>
      </c>
      <c r="D407" s="20" t="s">
        <v>1123</v>
      </c>
      <c r="E407" s="20"/>
      <c r="F407" s="6">
        <f>F408</f>
        <v>650</v>
      </c>
      <c r="G407" s="6">
        <f>G408</f>
        <v>650</v>
      </c>
    </row>
    <row r="408" spans="1:7" ht="31.5" x14ac:dyDescent="0.25">
      <c r="A408" s="25" t="s">
        <v>147</v>
      </c>
      <c r="B408" s="20" t="s">
        <v>250</v>
      </c>
      <c r="C408" s="20" t="s">
        <v>231</v>
      </c>
      <c r="D408" s="20" t="s">
        <v>1123</v>
      </c>
      <c r="E408" s="20" t="s">
        <v>148</v>
      </c>
      <c r="F408" s="6">
        <f>F409</f>
        <v>650</v>
      </c>
      <c r="G408" s="6">
        <f>G409</f>
        <v>650</v>
      </c>
    </row>
    <row r="409" spans="1:7" ht="47.25" x14ac:dyDescent="0.25">
      <c r="A409" s="25" t="s">
        <v>149</v>
      </c>
      <c r="B409" s="20" t="s">
        <v>250</v>
      </c>
      <c r="C409" s="20" t="s">
        <v>231</v>
      </c>
      <c r="D409" s="20" t="s">
        <v>1123</v>
      </c>
      <c r="E409" s="20" t="s">
        <v>150</v>
      </c>
      <c r="F409" s="6">
        <f>'пр.5.1.ведом.21-22'!G984</f>
        <v>650</v>
      </c>
      <c r="G409" s="6">
        <f>'пр.5.1.ведом.21-22'!H984</f>
        <v>650</v>
      </c>
    </row>
    <row r="410" spans="1:7" ht="15.75" hidden="1" x14ac:dyDescent="0.25">
      <c r="A410" s="29" t="s">
        <v>151</v>
      </c>
      <c r="B410" s="20" t="s">
        <v>250</v>
      </c>
      <c r="C410" s="20" t="s">
        <v>231</v>
      </c>
      <c r="D410" s="20" t="s">
        <v>1123</v>
      </c>
      <c r="E410" s="20" t="s">
        <v>161</v>
      </c>
      <c r="F410" s="6">
        <f>'Пр.3 Рд,пр, ЦС,ВР 20'!F432</f>
        <v>0</v>
      </c>
      <c r="G410" s="6">
        <f>'Пр.3 Рд,пр, ЦС,ВР 20'!G432</f>
        <v>0</v>
      </c>
    </row>
    <row r="411" spans="1:7" ht="47.25" hidden="1" x14ac:dyDescent="0.25">
      <c r="A411" s="25" t="s">
        <v>882</v>
      </c>
      <c r="B411" s="20" t="s">
        <v>250</v>
      </c>
      <c r="C411" s="20" t="s">
        <v>231</v>
      </c>
      <c r="D411" s="20" t="s">
        <v>1123</v>
      </c>
      <c r="E411" s="20" t="s">
        <v>163</v>
      </c>
      <c r="F411" s="6">
        <f>'Пр.3 Рд,пр, ЦС,ВР 20'!F433</f>
        <v>0</v>
      </c>
      <c r="G411" s="6">
        <f>'Пр.3 Рд,пр, ЦС,ВР 20'!G433</f>
        <v>0</v>
      </c>
    </row>
    <row r="412" spans="1:7" ht="31.5" hidden="1" x14ac:dyDescent="0.25">
      <c r="A412" s="29" t="s">
        <v>584</v>
      </c>
      <c r="B412" s="20" t="s">
        <v>250</v>
      </c>
      <c r="C412" s="20" t="s">
        <v>231</v>
      </c>
      <c r="D412" s="20" t="s">
        <v>1123</v>
      </c>
      <c r="E412" s="20" t="s">
        <v>154</v>
      </c>
      <c r="F412" s="6">
        <f>'Пр.3 Рд,пр, ЦС,ВР 20'!F434</f>
        <v>0</v>
      </c>
      <c r="G412" s="6">
        <f>'Пр.3 Рд,пр, ЦС,ВР 20'!G434</f>
        <v>0</v>
      </c>
    </row>
    <row r="413" spans="1:7" ht="15.75" x14ac:dyDescent="0.25">
      <c r="A413" s="25" t="s">
        <v>566</v>
      </c>
      <c r="B413" s="20" t="s">
        <v>250</v>
      </c>
      <c r="C413" s="20" t="s">
        <v>231</v>
      </c>
      <c r="D413" s="20" t="s">
        <v>1124</v>
      </c>
      <c r="E413" s="20"/>
      <c r="F413" s="6">
        <f>F414</f>
        <v>200</v>
      </c>
      <c r="G413" s="6">
        <f>G414</f>
        <v>200</v>
      </c>
    </row>
    <row r="414" spans="1:7" ht="31.5" x14ac:dyDescent="0.25">
      <c r="A414" s="25" t="s">
        <v>147</v>
      </c>
      <c r="B414" s="20" t="s">
        <v>250</v>
      </c>
      <c r="C414" s="20" t="s">
        <v>231</v>
      </c>
      <c r="D414" s="20" t="s">
        <v>1124</v>
      </c>
      <c r="E414" s="20" t="s">
        <v>148</v>
      </c>
      <c r="F414" s="6">
        <f>F415</f>
        <v>200</v>
      </c>
      <c r="G414" s="6">
        <f>G415</f>
        <v>200</v>
      </c>
    </row>
    <row r="415" spans="1:7" ht="47.25" x14ac:dyDescent="0.25">
      <c r="A415" s="25" t="s">
        <v>149</v>
      </c>
      <c r="B415" s="20" t="s">
        <v>250</v>
      </c>
      <c r="C415" s="20" t="s">
        <v>231</v>
      </c>
      <c r="D415" s="20" t="s">
        <v>1124</v>
      </c>
      <c r="E415" s="20" t="s">
        <v>150</v>
      </c>
      <c r="F415" s="6">
        <f>'пр.5.1.ведом.21-22'!G990</f>
        <v>200</v>
      </c>
      <c r="G415" s="6">
        <f>'пр.5.1.ведом.21-22'!H990</f>
        <v>200</v>
      </c>
    </row>
    <row r="416" spans="1:7" ht="47.25" x14ac:dyDescent="0.25">
      <c r="A416" s="23" t="s">
        <v>1451</v>
      </c>
      <c r="B416" s="24" t="s">
        <v>250</v>
      </c>
      <c r="C416" s="24" t="s">
        <v>231</v>
      </c>
      <c r="D416" s="24" t="s">
        <v>569</v>
      </c>
      <c r="E416" s="24"/>
      <c r="F416" s="4">
        <f>F417+F432</f>
        <v>2304.5</v>
      </c>
      <c r="G416" s="4">
        <f>G417+G432</f>
        <v>9696.5</v>
      </c>
    </row>
    <row r="417" spans="1:7" ht="31.5" x14ac:dyDescent="0.25">
      <c r="A417" s="23" t="s">
        <v>1140</v>
      </c>
      <c r="B417" s="24" t="s">
        <v>250</v>
      </c>
      <c r="C417" s="24" t="s">
        <v>231</v>
      </c>
      <c r="D417" s="24" t="s">
        <v>1125</v>
      </c>
      <c r="E417" s="24"/>
      <c r="F417" s="4">
        <f>F418+F421+F429</f>
        <v>390</v>
      </c>
      <c r="G417" s="4">
        <f>G418+G421+G429</f>
        <v>390</v>
      </c>
    </row>
    <row r="418" spans="1:7" ht="15.75" x14ac:dyDescent="0.25">
      <c r="A418" s="25" t="s">
        <v>571</v>
      </c>
      <c r="B418" s="20" t="s">
        <v>250</v>
      </c>
      <c r="C418" s="20" t="s">
        <v>231</v>
      </c>
      <c r="D418" s="20" t="s">
        <v>1127</v>
      </c>
      <c r="E418" s="20"/>
      <c r="F418" s="6">
        <f>F419</f>
        <v>4</v>
      </c>
      <c r="G418" s="6">
        <f>G419</f>
        <v>4</v>
      </c>
    </row>
    <row r="419" spans="1:7" ht="31.5" x14ac:dyDescent="0.25">
      <c r="A419" s="25" t="s">
        <v>147</v>
      </c>
      <c r="B419" s="20" t="s">
        <v>250</v>
      </c>
      <c r="C419" s="20" t="s">
        <v>231</v>
      </c>
      <c r="D419" s="20" t="s">
        <v>1127</v>
      </c>
      <c r="E419" s="20" t="s">
        <v>148</v>
      </c>
      <c r="F419" s="6">
        <f>F420</f>
        <v>4</v>
      </c>
      <c r="G419" s="6">
        <f>G420</f>
        <v>4</v>
      </c>
    </row>
    <row r="420" spans="1:7" ht="47.25" x14ac:dyDescent="0.25">
      <c r="A420" s="25" t="s">
        <v>149</v>
      </c>
      <c r="B420" s="20" t="s">
        <v>250</v>
      </c>
      <c r="C420" s="20" t="s">
        <v>231</v>
      </c>
      <c r="D420" s="20" t="s">
        <v>1127</v>
      </c>
      <c r="E420" s="20" t="s">
        <v>150</v>
      </c>
      <c r="F420" s="6">
        <f>'пр.5.1.ведом.21-22'!G995</f>
        <v>4</v>
      </c>
      <c r="G420" s="6">
        <f>'пр.5.1.ведом.21-22'!H995</f>
        <v>4</v>
      </c>
    </row>
    <row r="421" spans="1:7" ht="47.25" x14ac:dyDescent="0.25">
      <c r="A421" s="99" t="s">
        <v>573</v>
      </c>
      <c r="B421" s="20" t="s">
        <v>250</v>
      </c>
      <c r="C421" s="20" t="s">
        <v>231</v>
      </c>
      <c r="D421" s="20" t="s">
        <v>1128</v>
      </c>
      <c r="E421" s="20"/>
      <c r="F421" s="6">
        <f>F422+F424</f>
        <v>375</v>
      </c>
      <c r="G421" s="6">
        <f>G422+G424</f>
        <v>375</v>
      </c>
    </row>
    <row r="422" spans="1:7" ht="31.5" x14ac:dyDescent="0.25">
      <c r="A422" s="25" t="s">
        <v>147</v>
      </c>
      <c r="B422" s="20" t="s">
        <v>250</v>
      </c>
      <c r="C422" s="20" t="s">
        <v>231</v>
      </c>
      <c r="D422" s="20" t="s">
        <v>1128</v>
      </c>
      <c r="E422" s="20" t="s">
        <v>148</v>
      </c>
      <c r="F422" s="6">
        <f>F423</f>
        <v>300</v>
      </c>
      <c r="G422" s="6">
        <f>G423</f>
        <v>300</v>
      </c>
    </row>
    <row r="423" spans="1:7" ht="47.25" x14ac:dyDescent="0.25">
      <c r="A423" s="25" t="s">
        <v>149</v>
      </c>
      <c r="B423" s="20" t="s">
        <v>250</v>
      </c>
      <c r="C423" s="20" t="s">
        <v>231</v>
      </c>
      <c r="D423" s="20" t="s">
        <v>1128</v>
      </c>
      <c r="E423" s="20" t="s">
        <v>150</v>
      </c>
      <c r="F423" s="6">
        <f>'пр.5.1.ведом.21-22'!G998</f>
        <v>300</v>
      </c>
      <c r="G423" s="6">
        <f>'пр.5.1.ведом.21-22'!H998</f>
        <v>300</v>
      </c>
    </row>
    <row r="424" spans="1:7" ht="15.75" x14ac:dyDescent="0.25">
      <c r="A424" s="29" t="s">
        <v>151</v>
      </c>
      <c r="B424" s="20" t="s">
        <v>250</v>
      </c>
      <c r="C424" s="20" t="s">
        <v>231</v>
      </c>
      <c r="D424" s="20" t="s">
        <v>1128</v>
      </c>
      <c r="E424" s="20" t="s">
        <v>161</v>
      </c>
      <c r="F424" s="6">
        <f>F425</f>
        <v>75</v>
      </c>
      <c r="G424" s="6">
        <f>G425</f>
        <v>75</v>
      </c>
    </row>
    <row r="425" spans="1:7" ht="20.25" customHeight="1" x14ac:dyDescent="0.25">
      <c r="A425" s="29" t="s">
        <v>584</v>
      </c>
      <c r="B425" s="20" t="s">
        <v>250</v>
      </c>
      <c r="C425" s="20" t="s">
        <v>231</v>
      </c>
      <c r="D425" s="20" t="s">
        <v>1128</v>
      </c>
      <c r="E425" s="20" t="s">
        <v>154</v>
      </c>
      <c r="F425" s="6">
        <f>'пр.5.1.ведом.21-22'!G1000</f>
        <v>75</v>
      </c>
      <c r="G425" s="6">
        <f>'пр.5.1.ведом.21-22'!H1000</f>
        <v>75</v>
      </c>
    </row>
    <row r="426" spans="1:7" ht="31.5" hidden="1" x14ac:dyDescent="0.25">
      <c r="A426" s="99" t="s">
        <v>575</v>
      </c>
      <c r="B426" s="20" t="s">
        <v>250</v>
      </c>
      <c r="C426" s="20" t="s">
        <v>231</v>
      </c>
      <c r="D426" s="20" t="s">
        <v>1129</v>
      </c>
      <c r="E426" s="20"/>
      <c r="F426" s="6">
        <f>'Пр.3 Рд,пр, ЦС,ВР 20'!F451</f>
        <v>0</v>
      </c>
      <c r="G426" s="6">
        <f t="shared" ref="G426:G464" si="30">F426</f>
        <v>0</v>
      </c>
    </row>
    <row r="427" spans="1:7" ht="31.5" hidden="1" x14ac:dyDescent="0.25">
      <c r="A427" s="25" t="s">
        <v>147</v>
      </c>
      <c r="B427" s="20" t="s">
        <v>250</v>
      </c>
      <c r="C427" s="20" t="s">
        <v>231</v>
      </c>
      <c r="D427" s="20" t="s">
        <v>1129</v>
      </c>
      <c r="E427" s="20" t="s">
        <v>148</v>
      </c>
      <c r="F427" s="6">
        <f>'Пр.3 Рд,пр, ЦС,ВР 20'!F452</f>
        <v>0</v>
      </c>
      <c r="G427" s="6">
        <f t="shared" si="30"/>
        <v>0</v>
      </c>
    </row>
    <row r="428" spans="1:7" ht="47.25" hidden="1" x14ac:dyDescent="0.25">
      <c r="A428" s="25" t="s">
        <v>149</v>
      </c>
      <c r="B428" s="20" t="s">
        <v>250</v>
      </c>
      <c r="C428" s="20" t="s">
        <v>231</v>
      </c>
      <c r="D428" s="20" t="s">
        <v>1129</v>
      </c>
      <c r="E428" s="20" t="s">
        <v>150</v>
      </c>
      <c r="F428" s="6">
        <f>'Пр.3 Рд,пр, ЦС,ВР 20'!F453</f>
        <v>0</v>
      </c>
      <c r="G428" s="6">
        <f t="shared" si="30"/>
        <v>0</v>
      </c>
    </row>
    <row r="429" spans="1:7" s="217" customFormat="1" ht="31.5" x14ac:dyDescent="0.25">
      <c r="A429" s="244" t="s">
        <v>1289</v>
      </c>
      <c r="B429" s="20" t="s">
        <v>250</v>
      </c>
      <c r="C429" s="20" t="s">
        <v>231</v>
      </c>
      <c r="D429" s="20" t="s">
        <v>1290</v>
      </c>
      <c r="E429" s="20"/>
      <c r="F429" s="26">
        <f>F430</f>
        <v>11</v>
      </c>
      <c r="G429" s="26">
        <f>G430</f>
        <v>11</v>
      </c>
    </row>
    <row r="430" spans="1:7" s="217" customFormat="1" ht="31.5" x14ac:dyDescent="0.25">
      <c r="A430" s="25" t="s">
        <v>147</v>
      </c>
      <c r="B430" s="20" t="s">
        <v>250</v>
      </c>
      <c r="C430" s="20" t="s">
        <v>231</v>
      </c>
      <c r="D430" s="20" t="s">
        <v>1290</v>
      </c>
      <c r="E430" s="20" t="s">
        <v>148</v>
      </c>
      <c r="F430" s="26">
        <f>F431</f>
        <v>11</v>
      </c>
      <c r="G430" s="26">
        <f>G431</f>
        <v>11</v>
      </c>
    </row>
    <row r="431" spans="1:7" s="217" customFormat="1" ht="47.25" x14ac:dyDescent="0.25">
      <c r="A431" s="25" t="s">
        <v>149</v>
      </c>
      <c r="B431" s="20" t="s">
        <v>250</v>
      </c>
      <c r="C431" s="20" t="s">
        <v>231</v>
      </c>
      <c r="D431" s="20" t="s">
        <v>1290</v>
      </c>
      <c r="E431" s="20" t="s">
        <v>150</v>
      </c>
      <c r="F431" s="26">
        <f>'пр.5.1.ведом.21-22'!G1006</f>
        <v>11</v>
      </c>
      <c r="G431" s="26">
        <f>'пр.5.1.ведом.21-22'!H1006</f>
        <v>11</v>
      </c>
    </row>
    <row r="432" spans="1:7" ht="41.25" customHeight="1" x14ac:dyDescent="0.25">
      <c r="A432" s="23" t="s">
        <v>950</v>
      </c>
      <c r="B432" s="7" t="s">
        <v>250</v>
      </c>
      <c r="C432" s="7" t="s">
        <v>231</v>
      </c>
      <c r="D432" s="24" t="s">
        <v>1130</v>
      </c>
      <c r="E432" s="24"/>
      <c r="F432" s="4">
        <f>F433+F436</f>
        <v>1914.5</v>
      </c>
      <c r="G432" s="4">
        <f>G433+G436</f>
        <v>9306.5</v>
      </c>
    </row>
    <row r="433" spans="1:7" ht="47.25" hidden="1" x14ac:dyDescent="0.25">
      <c r="A433" s="25" t="s">
        <v>707</v>
      </c>
      <c r="B433" s="20" t="s">
        <v>250</v>
      </c>
      <c r="C433" s="20" t="s">
        <v>231</v>
      </c>
      <c r="D433" s="20" t="s">
        <v>1131</v>
      </c>
      <c r="E433" s="20"/>
      <c r="F433" s="6">
        <f>F434</f>
        <v>0</v>
      </c>
      <c r="G433" s="6">
        <f t="shared" si="30"/>
        <v>0</v>
      </c>
    </row>
    <row r="434" spans="1:7" ht="31.5" hidden="1" x14ac:dyDescent="0.25">
      <c r="A434" s="25" t="s">
        <v>147</v>
      </c>
      <c r="B434" s="20" t="s">
        <v>250</v>
      </c>
      <c r="C434" s="20" t="s">
        <v>231</v>
      </c>
      <c r="D434" s="20" t="s">
        <v>1131</v>
      </c>
      <c r="E434" s="20" t="s">
        <v>148</v>
      </c>
      <c r="F434" s="6">
        <f>F435</f>
        <v>0</v>
      </c>
      <c r="G434" s="6">
        <f t="shared" si="30"/>
        <v>0</v>
      </c>
    </row>
    <row r="435" spans="1:7" ht="47.25" hidden="1" x14ac:dyDescent="0.25">
      <c r="A435" s="25" t="s">
        <v>149</v>
      </c>
      <c r="B435" s="20" t="s">
        <v>250</v>
      </c>
      <c r="C435" s="20" t="s">
        <v>231</v>
      </c>
      <c r="D435" s="20" t="s">
        <v>1131</v>
      </c>
      <c r="E435" s="20" t="s">
        <v>150</v>
      </c>
      <c r="F435" s="6">
        <f>'Пр.3 Рд,пр, ЦС,ВР 20'!F457</f>
        <v>0</v>
      </c>
      <c r="G435" s="6">
        <f t="shared" si="30"/>
        <v>0</v>
      </c>
    </row>
    <row r="436" spans="1:7" ht="78.75" x14ac:dyDescent="0.25">
      <c r="A436" s="25" t="s">
        <v>1249</v>
      </c>
      <c r="B436" s="20" t="s">
        <v>250</v>
      </c>
      <c r="C436" s="20" t="s">
        <v>231</v>
      </c>
      <c r="D436" s="20" t="s">
        <v>1250</v>
      </c>
      <c r="E436" s="20"/>
      <c r="F436" s="6">
        <f>F437</f>
        <v>1914.5</v>
      </c>
      <c r="G436" s="6">
        <f>G437</f>
        <v>9306.5</v>
      </c>
    </row>
    <row r="437" spans="1:7" ht="31.5" x14ac:dyDescent="0.25">
      <c r="A437" s="25" t="s">
        <v>147</v>
      </c>
      <c r="B437" s="20" t="s">
        <v>250</v>
      </c>
      <c r="C437" s="20" t="s">
        <v>231</v>
      </c>
      <c r="D437" s="20" t="s">
        <v>1250</v>
      </c>
      <c r="E437" s="20" t="s">
        <v>148</v>
      </c>
      <c r="F437" s="6">
        <f>F438</f>
        <v>1914.5</v>
      </c>
      <c r="G437" s="6">
        <f>G438</f>
        <v>9306.5</v>
      </c>
    </row>
    <row r="438" spans="1:7" ht="47.25" x14ac:dyDescent="0.25">
      <c r="A438" s="25" t="s">
        <v>149</v>
      </c>
      <c r="B438" s="20" t="s">
        <v>250</v>
      </c>
      <c r="C438" s="20" t="s">
        <v>231</v>
      </c>
      <c r="D438" s="20" t="s">
        <v>1250</v>
      </c>
      <c r="E438" s="20" t="s">
        <v>150</v>
      </c>
      <c r="F438" s="6">
        <f>'пр.5.1.ведом.21-22'!G1013</f>
        <v>1914.5</v>
      </c>
      <c r="G438" s="6">
        <f>'пр.5.1.ведом.21-22'!H1013</f>
        <v>9306.5</v>
      </c>
    </row>
    <row r="439" spans="1:7" ht="78.75" x14ac:dyDescent="0.25">
      <c r="A439" s="23" t="s">
        <v>822</v>
      </c>
      <c r="B439" s="24" t="s">
        <v>250</v>
      </c>
      <c r="C439" s="24" t="s">
        <v>231</v>
      </c>
      <c r="D439" s="24" t="s">
        <v>734</v>
      </c>
      <c r="E439" s="24"/>
      <c r="F439" s="4">
        <f t="shared" ref="F439:G439" si="31">F441</f>
        <v>500</v>
      </c>
      <c r="G439" s="4">
        <f t="shared" si="31"/>
        <v>500</v>
      </c>
    </row>
    <row r="440" spans="1:7" ht="31.5" x14ac:dyDescent="0.25">
      <c r="A440" s="23" t="s">
        <v>1245</v>
      </c>
      <c r="B440" s="24" t="s">
        <v>250</v>
      </c>
      <c r="C440" s="24" t="s">
        <v>231</v>
      </c>
      <c r="D440" s="24" t="s">
        <v>881</v>
      </c>
      <c r="E440" s="20"/>
      <c r="F440" s="4">
        <f t="shared" ref="F440:G442" si="32">F441</f>
        <v>500</v>
      </c>
      <c r="G440" s="4">
        <f t="shared" si="32"/>
        <v>500</v>
      </c>
    </row>
    <row r="441" spans="1:7" ht="31.5" x14ac:dyDescent="0.25">
      <c r="A441" s="271" t="s">
        <v>733</v>
      </c>
      <c r="B441" s="20" t="s">
        <v>250</v>
      </c>
      <c r="C441" s="20" t="s">
        <v>231</v>
      </c>
      <c r="D441" s="20" t="s">
        <v>881</v>
      </c>
      <c r="E441" s="20"/>
      <c r="F441" s="6">
        <f t="shared" si="32"/>
        <v>500</v>
      </c>
      <c r="G441" s="6">
        <f t="shared" si="32"/>
        <v>500</v>
      </c>
    </row>
    <row r="442" spans="1:7" ht="31.5" x14ac:dyDescent="0.25">
      <c r="A442" s="25" t="s">
        <v>147</v>
      </c>
      <c r="B442" s="20" t="s">
        <v>250</v>
      </c>
      <c r="C442" s="20" t="s">
        <v>231</v>
      </c>
      <c r="D442" s="20" t="s">
        <v>881</v>
      </c>
      <c r="E442" s="20" t="s">
        <v>148</v>
      </c>
      <c r="F442" s="6">
        <f t="shared" si="32"/>
        <v>500</v>
      </c>
      <c r="G442" s="6">
        <f t="shared" si="32"/>
        <v>500</v>
      </c>
    </row>
    <row r="443" spans="1:7" ht="47.25" x14ac:dyDescent="0.25">
      <c r="A443" s="25" t="s">
        <v>149</v>
      </c>
      <c r="B443" s="20" t="s">
        <v>250</v>
      </c>
      <c r="C443" s="20" t="s">
        <v>231</v>
      </c>
      <c r="D443" s="20" t="s">
        <v>881</v>
      </c>
      <c r="E443" s="20" t="s">
        <v>150</v>
      </c>
      <c r="F443" s="6">
        <f>'пр.5.1.ведом.21-22'!G1018</f>
        <v>500</v>
      </c>
      <c r="G443" s="6">
        <f>'пр.5.1.ведом.21-22'!H1018</f>
        <v>500</v>
      </c>
    </row>
    <row r="444" spans="1:7" ht="31.5" x14ac:dyDescent="0.25">
      <c r="A444" s="41" t="s">
        <v>585</v>
      </c>
      <c r="B444" s="7" t="s">
        <v>250</v>
      </c>
      <c r="C444" s="7" t="s">
        <v>250</v>
      </c>
      <c r="D444" s="7"/>
      <c r="E444" s="7"/>
      <c r="F444" s="4">
        <f>F445+F457+F474</f>
        <v>22307</v>
      </c>
      <c r="G444" s="4">
        <f>G445+G457+G474</f>
        <v>22307</v>
      </c>
    </row>
    <row r="445" spans="1:7" ht="31.5" x14ac:dyDescent="0.25">
      <c r="A445" s="23" t="s">
        <v>990</v>
      </c>
      <c r="B445" s="24" t="s">
        <v>250</v>
      </c>
      <c r="C445" s="24" t="s">
        <v>250</v>
      </c>
      <c r="D445" s="24" t="s">
        <v>904</v>
      </c>
      <c r="E445" s="24"/>
      <c r="F445" s="4">
        <f>F446</f>
        <v>11546</v>
      </c>
      <c r="G445" s="4">
        <f>G446</f>
        <v>11546</v>
      </c>
    </row>
    <row r="446" spans="1:7" ht="15.75" x14ac:dyDescent="0.25">
      <c r="A446" s="23" t="s">
        <v>991</v>
      </c>
      <c r="B446" s="24" t="s">
        <v>250</v>
      </c>
      <c r="C446" s="24" t="s">
        <v>250</v>
      </c>
      <c r="D446" s="24" t="s">
        <v>905</v>
      </c>
      <c r="E446" s="24"/>
      <c r="F446" s="4">
        <f>F447+F454</f>
        <v>11546</v>
      </c>
      <c r="G446" s="4">
        <f>G447+G454</f>
        <v>11546</v>
      </c>
    </row>
    <row r="447" spans="1:7" ht="31.5" x14ac:dyDescent="0.25">
      <c r="A447" s="25" t="s">
        <v>967</v>
      </c>
      <c r="B447" s="20" t="s">
        <v>250</v>
      </c>
      <c r="C447" s="20" t="s">
        <v>250</v>
      </c>
      <c r="D447" s="20" t="s">
        <v>906</v>
      </c>
      <c r="E447" s="20"/>
      <c r="F447" s="6">
        <f>F448+F450+F452</f>
        <v>11210</v>
      </c>
      <c r="G447" s="6">
        <f>G448+G450+G452</f>
        <v>11210</v>
      </c>
    </row>
    <row r="448" spans="1:7" ht="94.5" x14ac:dyDescent="0.25">
      <c r="A448" s="25" t="s">
        <v>143</v>
      </c>
      <c r="B448" s="20" t="s">
        <v>250</v>
      </c>
      <c r="C448" s="20" t="s">
        <v>250</v>
      </c>
      <c r="D448" s="20" t="s">
        <v>906</v>
      </c>
      <c r="E448" s="20" t="s">
        <v>144</v>
      </c>
      <c r="F448" s="6">
        <f>F449</f>
        <v>11138</v>
      </c>
      <c r="G448" s="6">
        <f>G449</f>
        <v>11138</v>
      </c>
    </row>
    <row r="449" spans="1:7" ht="36.75" customHeight="1" x14ac:dyDescent="0.25">
      <c r="A449" s="25" t="s">
        <v>145</v>
      </c>
      <c r="B449" s="20" t="s">
        <v>250</v>
      </c>
      <c r="C449" s="20" t="s">
        <v>250</v>
      </c>
      <c r="D449" s="20" t="s">
        <v>906</v>
      </c>
      <c r="E449" s="20" t="s">
        <v>146</v>
      </c>
      <c r="F449" s="6">
        <f>'пр.5.1.ведом.21-22'!G1024</f>
        <v>11138</v>
      </c>
      <c r="G449" s="6">
        <f>'пр.5.1.ведом.21-22'!H1024</f>
        <v>11138</v>
      </c>
    </row>
    <row r="450" spans="1:7" ht="31.5" x14ac:dyDescent="0.25">
      <c r="A450" s="25" t="s">
        <v>147</v>
      </c>
      <c r="B450" s="20" t="s">
        <v>250</v>
      </c>
      <c r="C450" s="20" t="s">
        <v>250</v>
      </c>
      <c r="D450" s="20" t="s">
        <v>906</v>
      </c>
      <c r="E450" s="20" t="s">
        <v>148</v>
      </c>
      <c r="F450" s="6">
        <f>F451</f>
        <v>25</v>
      </c>
      <c r="G450" s="6">
        <f>G451</f>
        <v>25</v>
      </c>
    </row>
    <row r="451" spans="1:7" ht="47.25" x14ac:dyDescent="0.25">
      <c r="A451" s="25" t="s">
        <v>149</v>
      </c>
      <c r="B451" s="20" t="s">
        <v>250</v>
      </c>
      <c r="C451" s="20" t="s">
        <v>250</v>
      </c>
      <c r="D451" s="20" t="s">
        <v>906</v>
      </c>
      <c r="E451" s="20" t="s">
        <v>150</v>
      </c>
      <c r="F451" s="6">
        <f>'пр.5.1.ведом.21-22'!G1026</f>
        <v>25</v>
      </c>
      <c r="G451" s="6">
        <f>'пр.5.1.ведом.21-22'!H1026</f>
        <v>25</v>
      </c>
    </row>
    <row r="452" spans="1:7" ht="15.75" x14ac:dyDescent="0.25">
      <c r="A452" s="25" t="s">
        <v>151</v>
      </c>
      <c r="B452" s="20" t="s">
        <v>250</v>
      </c>
      <c r="C452" s="20" t="s">
        <v>250</v>
      </c>
      <c r="D452" s="20" t="s">
        <v>906</v>
      </c>
      <c r="E452" s="20" t="s">
        <v>161</v>
      </c>
      <c r="F452" s="6">
        <f>F453</f>
        <v>47</v>
      </c>
      <c r="G452" s="6">
        <f>G453</f>
        <v>47</v>
      </c>
    </row>
    <row r="453" spans="1:7" ht="21.75" customHeight="1" x14ac:dyDescent="0.25">
      <c r="A453" s="25" t="s">
        <v>584</v>
      </c>
      <c r="B453" s="20" t="s">
        <v>250</v>
      </c>
      <c r="C453" s="20" t="s">
        <v>250</v>
      </c>
      <c r="D453" s="20" t="s">
        <v>906</v>
      </c>
      <c r="E453" s="20" t="s">
        <v>154</v>
      </c>
      <c r="F453" s="6">
        <f>'пр.5.1.ведом.21-22'!G1028</f>
        <v>47</v>
      </c>
      <c r="G453" s="6">
        <f>'пр.5.1.ведом.21-22'!H1028</f>
        <v>47</v>
      </c>
    </row>
    <row r="454" spans="1:7" ht="47.25" x14ac:dyDescent="0.25">
      <c r="A454" s="25" t="s">
        <v>885</v>
      </c>
      <c r="B454" s="20" t="s">
        <v>250</v>
      </c>
      <c r="C454" s="20" t="s">
        <v>250</v>
      </c>
      <c r="D454" s="20" t="s">
        <v>908</v>
      </c>
      <c r="E454" s="20"/>
      <c r="F454" s="6">
        <f>F455</f>
        <v>336</v>
      </c>
      <c r="G454" s="6">
        <f>G455</f>
        <v>336</v>
      </c>
    </row>
    <row r="455" spans="1:7" ht="94.5" x14ac:dyDescent="0.25">
      <c r="A455" s="25" t="s">
        <v>143</v>
      </c>
      <c r="B455" s="20" t="s">
        <v>250</v>
      </c>
      <c r="C455" s="20" t="s">
        <v>250</v>
      </c>
      <c r="D455" s="20" t="s">
        <v>908</v>
      </c>
      <c r="E455" s="20" t="s">
        <v>144</v>
      </c>
      <c r="F455" s="6">
        <f>F456</f>
        <v>336</v>
      </c>
      <c r="G455" s="6">
        <f>G456</f>
        <v>336</v>
      </c>
    </row>
    <row r="456" spans="1:7" ht="33" customHeight="1" x14ac:dyDescent="0.25">
      <c r="A456" s="25" t="s">
        <v>145</v>
      </c>
      <c r="B456" s="20" t="s">
        <v>250</v>
      </c>
      <c r="C456" s="20" t="s">
        <v>250</v>
      </c>
      <c r="D456" s="20" t="s">
        <v>908</v>
      </c>
      <c r="E456" s="20" t="s">
        <v>146</v>
      </c>
      <c r="F456" s="6">
        <f>'пр.5.1.ведом.21-22'!G1031</f>
        <v>336</v>
      </c>
      <c r="G456" s="6">
        <f>'пр.5.1.ведом.21-22'!H1031</f>
        <v>336</v>
      </c>
    </row>
    <row r="457" spans="1:7" ht="15.75" x14ac:dyDescent="0.25">
      <c r="A457" s="23" t="s">
        <v>157</v>
      </c>
      <c r="B457" s="24" t="s">
        <v>250</v>
      </c>
      <c r="C457" s="24" t="s">
        <v>250</v>
      </c>
      <c r="D457" s="24" t="s">
        <v>912</v>
      </c>
      <c r="E457" s="24"/>
      <c r="F457" s="4">
        <f>F458+F465</f>
        <v>10761</v>
      </c>
      <c r="G457" s="4">
        <f>G458+G465</f>
        <v>10761</v>
      </c>
    </row>
    <row r="458" spans="1:7" ht="31.5" x14ac:dyDescent="0.25">
      <c r="A458" s="23" t="s">
        <v>916</v>
      </c>
      <c r="B458" s="24" t="s">
        <v>250</v>
      </c>
      <c r="C458" s="24" t="s">
        <v>250</v>
      </c>
      <c r="D458" s="24" t="s">
        <v>911</v>
      </c>
      <c r="E458" s="24"/>
      <c r="F458" s="310">
        <f>F459+F462</f>
        <v>982</v>
      </c>
      <c r="G458" s="310">
        <f>G459+G462</f>
        <v>982</v>
      </c>
    </row>
    <row r="459" spans="1:7" ht="31.5" x14ac:dyDescent="0.25">
      <c r="A459" s="25" t="s">
        <v>586</v>
      </c>
      <c r="B459" s="20" t="s">
        <v>250</v>
      </c>
      <c r="C459" s="20" t="s">
        <v>250</v>
      </c>
      <c r="D459" s="20" t="s">
        <v>1132</v>
      </c>
      <c r="E459" s="20"/>
      <c r="F459" s="6">
        <f>F460</f>
        <v>982</v>
      </c>
      <c r="G459" s="6">
        <f>G460</f>
        <v>982</v>
      </c>
    </row>
    <row r="460" spans="1:7" ht="15.75" x14ac:dyDescent="0.25">
      <c r="A460" s="25" t="s">
        <v>151</v>
      </c>
      <c r="B460" s="20" t="s">
        <v>250</v>
      </c>
      <c r="C460" s="20" t="s">
        <v>250</v>
      </c>
      <c r="D460" s="20" t="s">
        <v>1132</v>
      </c>
      <c r="E460" s="20" t="s">
        <v>161</v>
      </c>
      <c r="F460" s="6">
        <f>F461</f>
        <v>982</v>
      </c>
      <c r="G460" s="6">
        <f>G461</f>
        <v>982</v>
      </c>
    </row>
    <row r="461" spans="1:7" ht="63" x14ac:dyDescent="0.25">
      <c r="A461" s="25" t="s">
        <v>200</v>
      </c>
      <c r="B461" s="20" t="s">
        <v>250</v>
      </c>
      <c r="C461" s="20" t="s">
        <v>250</v>
      </c>
      <c r="D461" s="20" t="s">
        <v>1132</v>
      </c>
      <c r="E461" s="20" t="s">
        <v>176</v>
      </c>
      <c r="F461" s="6">
        <f>'пр.5.1.ведом.21-22'!G1036</f>
        <v>982</v>
      </c>
      <c r="G461" s="6">
        <f>'пр.5.1.ведом.21-22'!H1036</f>
        <v>982</v>
      </c>
    </row>
    <row r="462" spans="1:7" ht="47.25" hidden="1" x14ac:dyDescent="0.25">
      <c r="A462" s="25" t="s">
        <v>868</v>
      </c>
      <c r="B462" s="20" t="s">
        <v>250</v>
      </c>
      <c r="C462" s="20" t="s">
        <v>250</v>
      </c>
      <c r="D462" s="20" t="s">
        <v>1251</v>
      </c>
      <c r="E462" s="20"/>
      <c r="F462" s="6">
        <f>'Пр.3 Рд,пр, ЦС,ВР 20'!F486</f>
        <v>0</v>
      </c>
      <c r="G462" s="6">
        <f t="shared" si="30"/>
        <v>0</v>
      </c>
    </row>
    <row r="463" spans="1:7" ht="15.75" hidden="1" x14ac:dyDescent="0.25">
      <c r="A463" s="25" t="s">
        <v>151</v>
      </c>
      <c r="B463" s="20" t="s">
        <v>250</v>
      </c>
      <c r="C463" s="20" t="s">
        <v>250</v>
      </c>
      <c r="D463" s="20" t="s">
        <v>1251</v>
      </c>
      <c r="E463" s="20" t="s">
        <v>161</v>
      </c>
      <c r="F463" s="6">
        <f>'Пр.3 Рд,пр, ЦС,ВР 20'!F487</f>
        <v>0</v>
      </c>
      <c r="G463" s="6">
        <f t="shared" si="30"/>
        <v>0</v>
      </c>
    </row>
    <row r="464" spans="1:7" ht="63" hidden="1" x14ac:dyDescent="0.25">
      <c r="A464" s="25" t="s">
        <v>200</v>
      </c>
      <c r="B464" s="20" t="s">
        <v>250</v>
      </c>
      <c r="C464" s="20" t="s">
        <v>250</v>
      </c>
      <c r="D464" s="20" t="s">
        <v>1251</v>
      </c>
      <c r="E464" s="20" t="s">
        <v>176</v>
      </c>
      <c r="F464" s="6">
        <f>'Пр.3 Рд,пр, ЦС,ВР 20'!F488</f>
        <v>0</v>
      </c>
      <c r="G464" s="6">
        <f t="shared" si="30"/>
        <v>0</v>
      </c>
    </row>
    <row r="465" spans="1:11" ht="47.25" x14ac:dyDescent="0.25">
      <c r="A465" s="23" t="s">
        <v>1002</v>
      </c>
      <c r="B465" s="24" t="s">
        <v>250</v>
      </c>
      <c r="C465" s="24" t="s">
        <v>250</v>
      </c>
      <c r="D465" s="24" t="s">
        <v>987</v>
      </c>
      <c r="E465" s="24"/>
      <c r="F465" s="310">
        <f>F466+F471</f>
        <v>9779</v>
      </c>
      <c r="G465" s="310">
        <f>G466+G471</f>
        <v>9779</v>
      </c>
    </row>
    <row r="466" spans="1:11" ht="31.5" x14ac:dyDescent="0.25">
      <c r="A466" s="25" t="s">
        <v>974</v>
      </c>
      <c r="B466" s="20" t="s">
        <v>250</v>
      </c>
      <c r="C466" s="20" t="s">
        <v>250</v>
      </c>
      <c r="D466" s="20" t="s">
        <v>988</v>
      </c>
      <c r="E466" s="20"/>
      <c r="F466" s="6">
        <f>F467+F470</f>
        <v>9359</v>
      </c>
      <c r="G466" s="6">
        <f>G467+G470</f>
        <v>9359</v>
      </c>
    </row>
    <row r="467" spans="1:11" ht="94.5" x14ac:dyDescent="0.25">
      <c r="A467" s="25" t="s">
        <v>143</v>
      </c>
      <c r="B467" s="20" t="s">
        <v>250</v>
      </c>
      <c r="C467" s="20" t="s">
        <v>250</v>
      </c>
      <c r="D467" s="20" t="s">
        <v>988</v>
      </c>
      <c r="E467" s="20" t="s">
        <v>144</v>
      </c>
      <c r="F467" s="6">
        <f>F468</f>
        <v>8047</v>
      </c>
      <c r="G467" s="6">
        <f>G468</f>
        <v>8047</v>
      </c>
    </row>
    <row r="468" spans="1:11" ht="31.5" x14ac:dyDescent="0.25">
      <c r="A468" s="25" t="s">
        <v>358</v>
      </c>
      <c r="B468" s="20" t="s">
        <v>250</v>
      </c>
      <c r="C468" s="20" t="s">
        <v>250</v>
      </c>
      <c r="D468" s="20" t="s">
        <v>988</v>
      </c>
      <c r="E468" s="20" t="s">
        <v>225</v>
      </c>
      <c r="F468" s="6">
        <f>'пр.5.1.ведом.21-22'!G1043</f>
        <v>8047</v>
      </c>
      <c r="G468" s="6">
        <f>'пр.5.1.ведом.21-22'!H1043</f>
        <v>8047</v>
      </c>
    </row>
    <row r="469" spans="1:11" ht="31.5" x14ac:dyDescent="0.25">
      <c r="A469" s="25" t="s">
        <v>147</v>
      </c>
      <c r="B469" s="20" t="s">
        <v>250</v>
      </c>
      <c r="C469" s="20" t="s">
        <v>250</v>
      </c>
      <c r="D469" s="20" t="s">
        <v>988</v>
      </c>
      <c r="E469" s="20" t="s">
        <v>148</v>
      </c>
      <c r="F469" s="6">
        <f>F470</f>
        <v>1312</v>
      </c>
      <c r="G469" s="6">
        <f>G470</f>
        <v>1312</v>
      </c>
    </row>
    <row r="470" spans="1:11" ht="47.25" x14ac:dyDescent="0.25">
      <c r="A470" s="25" t="s">
        <v>149</v>
      </c>
      <c r="B470" s="20" t="s">
        <v>250</v>
      </c>
      <c r="C470" s="20" t="s">
        <v>250</v>
      </c>
      <c r="D470" s="20" t="s">
        <v>988</v>
      </c>
      <c r="E470" s="20" t="s">
        <v>150</v>
      </c>
      <c r="F470" s="6">
        <f>'пр.5.1.ведом.21-22'!G1045</f>
        <v>1312</v>
      </c>
      <c r="G470" s="6">
        <f>'пр.5.1.ведом.21-22'!H1045</f>
        <v>1312</v>
      </c>
    </row>
    <row r="471" spans="1:11" ht="47.25" x14ac:dyDescent="0.25">
      <c r="A471" s="25" t="s">
        <v>885</v>
      </c>
      <c r="B471" s="20" t="s">
        <v>250</v>
      </c>
      <c r="C471" s="20" t="s">
        <v>250</v>
      </c>
      <c r="D471" s="20" t="s">
        <v>989</v>
      </c>
      <c r="E471" s="20"/>
      <c r="F471" s="6">
        <f>F472</f>
        <v>420</v>
      </c>
      <c r="G471" s="6">
        <f>G472</f>
        <v>420</v>
      </c>
    </row>
    <row r="472" spans="1:11" ht="94.5" x14ac:dyDescent="0.25">
      <c r="A472" s="25" t="s">
        <v>143</v>
      </c>
      <c r="B472" s="20" t="s">
        <v>250</v>
      </c>
      <c r="C472" s="20" t="s">
        <v>250</v>
      </c>
      <c r="D472" s="20" t="s">
        <v>989</v>
      </c>
      <c r="E472" s="20" t="s">
        <v>144</v>
      </c>
      <c r="F472" s="6">
        <f>F473</f>
        <v>420</v>
      </c>
      <c r="G472" s="6">
        <f>G473</f>
        <v>420</v>
      </c>
    </row>
    <row r="473" spans="1:11" ht="39.75" customHeight="1" x14ac:dyDescent="0.25">
      <c r="A473" s="25" t="s">
        <v>145</v>
      </c>
      <c r="B473" s="20" t="s">
        <v>250</v>
      </c>
      <c r="C473" s="20" t="s">
        <v>250</v>
      </c>
      <c r="D473" s="20" t="s">
        <v>989</v>
      </c>
      <c r="E473" s="20" t="s">
        <v>146</v>
      </c>
      <c r="F473" s="6">
        <f>'пр.5.1.ведом.21-22'!G1048</f>
        <v>420</v>
      </c>
      <c r="G473" s="6">
        <f>'пр.5.1.ведом.21-22'!H1048</f>
        <v>420</v>
      </c>
    </row>
    <row r="474" spans="1:11" s="217" customFormat="1" ht="78.75" hidden="1" x14ac:dyDescent="0.25">
      <c r="A474" s="34" t="s">
        <v>805</v>
      </c>
      <c r="B474" s="24" t="s">
        <v>250</v>
      </c>
      <c r="C474" s="24" t="s">
        <v>250</v>
      </c>
      <c r="D474" s="24" t="s">
        <v>340</v>
      </c>
      <c r="E474" s="24"/>
      <c r="F474" s="21">
        <f t="shared" ref="F474:G477" si="33">F475</f>
        <v>0</v>
      </c>
      <c r="G474" s="21">
        <f t="shared" si="33"/>
        <v>0</v>
      </c>
    </row>
    <row r="475" spans="1:11" s="217" customFormat="1" ht="63" hidden="1" x14ac:dyDescent="0.25">
      <c r="A475" s="34" t="s">
        <v>1162</v>
      </c>
      <c r="B475" s="24" t="s">
        <v>250</v>
      </c>
      <c r="C475" s="24" t="s">
        <v>250</v>
      </c>
      <c r="D475" s="24" t="s">
        <v>1025</v>
      </c>
      <c r="E475" s="24"/>
      <c r="F475" s="21">
        <f t="shared" si="33"/>
        <v>0</v>
      </c>
      <c r="G475" s="21">
        <f t="shared" si="33"/>
        <v>0</v>
      </c>
    </row>
    <row r="476" spans="1:11" s="217" customFormat="1" ht="63" hidden="1" x14ac:dyDescent="0.25">
      <c r="A476" s="31" t="s">
        <v>1273</v>
      </c>
      <c r="B476" s="20" t="s">
        <v>250</v>
      </c>
      <c r="C476" s="20" t="s">
        <v>250</v>
      </c>
      <c r="D476" s="20" t="s">
        <v>1192</v>
      </c>
      <c r="E476" s="20"/>
      <c r="F476" s="26">
        <f t="shared" si="33"/>
        <v>0</v>
      </c>
      <c r="G476" s="26">
        <f t="shared" si="33"/>
        <v>0</v>
      </c>
    </row>
    <row r="477" spans="1:11" s="217" customFormat="1" ht="31.5" hidden="1" x14ac:dyDescent="0.25">
      <c r="A477" s="25" t="s">
        <v>147</v>
      </c>
      <c r="B477" s="20" t="s">
        <v>250</v>
      </c>
      <c r="C477" s="20" t="s">
        <v>250</v>
      </c>
      <c r="D477" s="20" t="s">
        <v>1192</v>
      </c>
      <c r="E477" s="20" t="s">
        <v>148</v>
      </c>
      <c r="F477" s="26">
        <f t="shared" si="33"/>
        <v>0</v>
      </c>
      <c r="G477" s="26">
        <f t="shared" si="33"/>
        <v>0</v>
      </c>
    </row>
    <row r="478" spans="1:11" s="217" customFormat="1" ht="47.25" hidden="1" x14ac:dyDescent="0.25">
      <c r="A478" s="25" t="s">
        <v>149</v>
      </c>
      <c r="B478" s="20" t="s">
        <v>250</v>
      </c>
      <c r="C478" s="20" t="s">
        <v>250</v>
      </c>
      <c r="D478" s="20" t="s">
        <v>1192</v>
      </c>
      <c r="E478" s="20" t="s">
        <v>150</v>
      </c>
      <c r="F478" s="26">
        <f>'пр.5.1.ведом.21-22'!G1053</f>
        <v>0</v>
      </c>
      <c r="G478" s="6">
        <f>'пр.5.1.ведом.21-22'!H1053</f>
        <v>0</v>
      </c>
    </row>
    <row r="479" spans="1:11" ht="15.75" x14ac:dyDescent="0.25">
      <c r="A479" s="41" t="s">
        <v>279</v>
      </c>
      <c r="B479" s="7" t="s">
        <v>280</v>
      </c>
      <c r="C479" s="40"/>
      <c r="D479" s="40"/>
      <c r="E479" s="40"/>
      <c r="F479" s="4">
        <f>F480+F551+F738+F635+F709</f>
        <v>381259.7</v>
      </c>
      <c r="G479" s="4">
        <f>G480+G551+G738+G635+G709</f>
        <v>381268.2</v>
      </c>
      <c r="H479" s="238">
        <v>378154.5</v>
      </c>
      <c r="I479" s="238">
        <v>378163</v>
      </c>
      <c r="J479" s="238">
        <f>H479-F479</f>
        <v>-3105.2000000000116</v>
      </c>
      <c r="K479" s="238">
        <f>I479-G479</f>
        <v>-3105.2000000000116</v>
      </c>
    </row>
    <row r="480" spans="1:11" ht="15.75" x14ac:dyDescent="0.25">
      <c r="A480" s="41" t="s">
        <v>420</v>
      </c>
      <c r="B480" s="7" t="s">
        <v>280</v>
      </c>
      <c r="C480" s="7" t="s">
        <v>134</v>
      </c>
      <c r="D480" s="7"/>
      <c r="E480" s="7"/>
      <c r="F480" s="4">
        <f>F481+F541+F546</f>
        <v>109329.5</v>
      </c>
      <c r="G480" s="4">
        <f>G481+G541+G546</f>
        <v>109329.5</v>
      </c>
    </row>
    <row r="481" spans="1:11" ht="47.25" x14ac:dyDescent="0.25">
      <c r="A481" s="23" t="s">
        <v>1430</v>
      </c>
      <c r="B481" s="24" t="s">
        <v>280</v>
      </c>
      <c r="C481" s="24" t="s">
        <v>134</v>
      </c>
      <c r="D481" s="24" t="s">
        <v>422</v>
      </c>
      <c r="E481" s="24"/>
      <c r="F481" s="4">
        <f>F482+F506</f>
        <v>108865.2</v>
      </c>
      <c r="G481" s="4">
        <f>G482+G506</f>
        <v>108865.2</v>
      </c>
    </row>
    <row r="482" spans="1:11" ht="47.25" x14ac:dyDescent="0.25">
      <c r="A482" s="23" t="s">
        <v>423</v>
      </c>
      <c r="B482" s="24" t="s">
        <v>280</v>
      </c>
      <c r="C482" s="24" t="s">
        <v>134</v>
      </c>
      <c r="D482" s="24" t="s">
        <v>424</v>
      </c>
      <c r="E482" s="24"/>
      <c r="F482" s="4">
        <f>F483+F490</f>
        <v>97867.5</v>
      </c>
      <c r="G482" s="4">
        <f>G483+G490</f>
        <v>97867.5</v>
      </c>
    </row>
    <row r="483" spans="1:11" ht="47.25" x14ac:dyDescent="0.25">
      <c r="A483" s="23" t="s">
        <v>1028</v>
      </c>
      <c r="B483" s="24" t="s">
        <v>280</v>
      </c>
      <c r="C483" s="24" t="s">
        <v>134</v>
      </c>
      <c r="D483" s="24" t="s">
        <v>1006</v>
      </c>
      <c r="E483" s="24"/>
      <c r="F483" s="4">
        <f>F484+F487</f>
        <v>12027</v>
      </c>
      <c r="G483" s="4">
        <f>G484+G487</f>
        <v>12027</v>
      </c>
    </row>
    <row r="484" spans="1:11" ht="63" x14ac:dyDescent="0.25">
      <c r="A484" s="25" t="s">
        <v>1063</v>
      </c>
      <c r="B484" s="20" t="s">
        <v>280</v>
      </c>
      <c r="C484" s="20" t="s">
        <v>134</v>
      </c>
      <c r="D484" s="20" t="s">
        <v>1062</v>
      </c>
      <c r="E484" s="20"/>
      <c r="F484" s="6">
        <f>F485</f>
        <v>7224.3</v>
      </c>
      <c r="G484" s="6">
        <f>G485</f>
        <v>7224.3</v>
      </c>
    </row>
    <row r="485" spans="1:11" ht="47.25" x14ac:dyDescent="0.25">
      <c r="A485" s="25" t="s">
        <v>288</v>
      </c>
      <c r="B485" s="20" t="s">
        <v>280</v>
      </c>
      <c r="C485" s="20" t="s">
        <v>134</v>
      </c>
      <c r="D485" s="20" t="s">
        <v>1062</v>
      </c>
      <c r="E485" s="20" t="s">
        <v>289</v>
      </c>
      <c r="F485" s="6">
        <f>F486</f>
        <v>7224.3</v>
      </c>
      <c r="G485" s="6">
        <f>G486</f>
        <v>7224.3</v>
      </c>
    </row>
    <row r="486" spans="1:11" ht="15.75" x14ac:dyDescent="0.25">
      <c r="A486" s="25" t="s">
        <v>290</v>
      </c>
      <c r="B486" s="20" t="s">
        <v>280</v>
      </c>
      <c r="C486" s="20" t="s">
        <v>134</v>
      </c>
      <c r="D486" s="20" t="s">
        <v>1062</v>
      </c>
      <c r="E486" s="20" t="s">
        <v>291</v>
      </c>
      <c r="F486" s="6">
        <f>'пр.5.1.ведом.21-22'!G553</f>
        <v>7224.3</v>
      </c>
      <c r="G486" s="6">
        <f>'пр.5.1.ведом.21-22'!H553</f>
        <v>7224.3</v>
      </c>
    </row>
    <row r="487" spans="1:11" ht="63" x14ac:dyDescent="0.25">
      <c r="A487" s="25" t="s">
        <v>1238</v>
      </c>
      <c r="B487" s="20" t="s">
        <v>280</v>
      </c>
      <c r="C487" s="20" t="s">
        <v>134</v>
      </c>
      <c r="D487" s="20" t="s">
        <v>1064</v>
      </c>
      <c r="E487" s="20"/>
      <c r="F487" s="6">
        <f>F488</f>
        <v>4802.7</v>
      </c>
      <c r="G487" s="6">
        <f>G488</f>
        <v>4802.7</v>
      </c>
    </row>
    <row r="488" spans="1:11" ht="47.25" x14ac:dyDescent="0.25">
      <c r="A488" s="25" t="s">
        <v>288</v>
      </c>
      <c r="B488" s="20" t="s">
        <v>280</v>
      </c>
      <c r="C488" s="20" t="s">
        <v>134</v>
      </c>
      <c r="D488" s="20" t="s">
        <v>1064</v>
      </c>
      <c r="E488" s="20" t="s">
        <v>289</v>
      </c>
      <c r="F488" s="6">
        <f>F489</f>
        <v>4802.7</v>
      </c>
      <c r="G488" s="6">
        <f>G489</f>
        <v>4802.7</v>
      </c>
    </row>
    <row r="489" spans="1:11" ht="15.75" x14ac:dyDescent="0.25">
      <c r="A489" s="25" t="s">
        <v>290</v>
      </c>
      <c r="B489" s="20" t="s">
        <v>280</v>
      </c>
      <c r="C489" s="20" t="s">
        <v>134</v>
      </c>
      <c r="D489" s="20" t="s">
        <v>1064</v>
      </c>
      <c r="E489" s="20" t="s">
        <v>291</v>
      </c>
      <c r="F489" s="6">
        <f>'пр.5.1.ведом.21-22'!G556</f>
        <v>4802.7</v>
      </c>
      <c r="G489" s="6">
        <f>'пр.5.1.ведом.21-22'!H556</f>
        <v>4802.7</v>
      </c>
    </row>
    <row r="490" spans="1:11" ht="50.25" customHeight="1" x14ac:dyDescent="0.25">
      <c r="A490" s="23" t="s">
        <v>971</v>
      </c>
      <c r="B490" s="24" t="s">
        <v>280</v>
      </c>
      <c r="C490" s="24" t="s">
        <v>134</v>
      </c>
      <c r="D490" s="24" t="s">
        <v>1021</v>
      </c>
      <c r="E490" s="24"/>
      <c r="F490" s="4">
        <f>F494+F497+F500+F503+F491</f>
        <v>85840.5</v>
      </c>
      <c r="G490" s="4">
        <f>G494+G497+G500+G503+G491</f>
        <v>85840.5</v>
      </c>
    </row>
    <row r="491" spans="1:11" s="331" customFormat="1" ht="110.25" customHeight="1" x14ac:dyDescent="0.25">
      <c r="A491" s="31" t="s">
        <v>309</v>
      </c>
      <c r="B491" s="338" t="s">
        <v>280</v>
      </c>
      <c r="C491" s="338" t="s">
        <v>134</v>
      </c>
      <c r="D491" s="338" t="s">
        <v>1519</v>
      </c>
      <c r="E491" s="338"/>
      <c r="F491" s="6">
        <f>F492</f>
        <v>2916.1</v>
      </c>
      <c r="G491" s="6">
        <f t="shared" ref="G491:K492" si="34">G492</f>
        <v>2916.1</v>
      </c>
      <c r="H491" s="6">
        <f t="shared" si="34"/>
        <v>0</v>
      </c>
      <c r="I491" s="6">
        <f t="shared" si="34"/>
        <v>0</v>
      </c>
      <c r="J491" s="6">
        <f t="shared" si="34"/>
        <v>0</v>
      </c>
      <c r="K491" s="6">
        <f t="shared" si="34"/>
        <v>0</v>
      </c>
    </row>
    <row r="492" spans="1:11" s="331" customFormat="1" ht="50.25" customHeight="1" x14ac:dyDescent="0.25">
      <c r="A492" s="342" t="s">
        <v>288</v>
      </c>
      <c r="B492" s="338" t="s">
        <v>280</v>
      </c>
      <c r="C492" s="338" t="s">
        <v>134</v>
      </c>
      <c r="D492" s="338" t="s">
        <v>1519</v>
      </c>
      <c r="E492" s="338" t="s">
        <v>144</v>
      </c>
      <c r="F492" s="6">
        <f>F493</f>
        <v>2916.1</v>
      </c>
      <c r="G492" s="6">
        <f t="shared" si="34"/>
        <v>2916.1</v>
      </c>
      <c r="H492" s="6">
        <f t="shared" si="34"/>
        <v>0</v>
      </c>
      <c r="I492" s="6">
        <f t="shared" si="34"/>
        <v>0</v>
      </c>
      <c r="J492" s="6">
        <f t="shared" si="34"/>
        <v>0</v>
      </c>
      <c r="K492" s="6">
        <f t="shared" si="34"/>
        <v>0</v>
      </c>
    </row>
    <row r="493" spans="1:11" s="331" customFormat="1" ht="22.7" customHeight="1" x14ac:dyDescent="0.25">
      <c r="A493" s="342" t="s">
        <v>290</v>
      </c>
      <c r="B493" s="338" t="s">
        <v>280</v>
      </c>
      <c r="C493" s="338" t="s">
        <v>134</v>
      </c>
      <c r="D493" s="338" t="s">
        <v>1519</v>
      </c>
      <c r="E493" s="338" t="s">
        <v>225</v>
      </c>
      <c r="F493" s="6">
        <f>'пр.5.1.ведом.21-22'!G560</f>
        <v>2916.1</v>
      </c>
      <c r="G493" s="6">
        <f>'пр.5.1.ведом.21-22'!H560</f>
        <v>2916.1</v>
      </c>
    </row>
    <row r="494" spans="1:11" ht="78.75" x14ac:dyDescent="0.25">
      <c r="A494" s="31" t="s">
        <v>305</v>
      </c>
      <c r="B494" s="20" t="s">
        <v>280</v>
      </c>
      <c r="C494" s="20" t="s">
        <v>134</v>
      </c>
      <c r="D494" s="20" t="s">
        <v>1020</v>
      </c>
      <c r="E494" s="20"/>
      <c r="F494" s="6">
        <f>F495</f>
        <v>559.70000000000005</v>
      </c>
      <c r="G494" s="6">
        <f>G495</f>
        <v>559.70000000000005</v>
      </c>
    </row>
    <row r="495" spans="1:11" ht="47.25" x14ac:dyDescent="0.25">
      <c r="A495" s="25" t="s">
        <v>288</v>
      </c>
      <c r="B495" s="20" t="s">
        <v>280</v>
      </c>
      <c r="C495" s="20" t="s">
        <v>134</v>
      </c>
      <c r="D495" s="20" t="s">
        <v>1020</v>
      </c>
      <c r="E495" s="20" t="s">
        <v>289</v>
      </c>
      <c r="F495" s="6">
        <f>F496</f>
        <v>559.70000000000005</v>
      </c>
      <c r="G495" s="6">
        <f>G496</f>
        <v>559.70000000000005</v>
      </c>
    </row>
    <row r="496" spans="1:11" ht="15.75" x14ac:dyDescent="0.25">
      <c r="A496" s="25" t="s">
        <v>290</v>
      </c>
      <c r="B496" s="20" t="s">
        <v>280</v>
      </c>
      <c r="C496" s="20" t="s">
        <v>134</v>
      </c>
      <c r="D496" s="20" t="s">
        <v>1020</v>
      </c>
      <c r="E496" s="20" t="s">
        <v>291</v>
      </c>
      <c r="F496" s="6">
        <f>'пр.5.1.ведом.21-22'!G563</f>
        <v>559.70000000000005</v>
      </c>
      <c r="G496" s="6">
        <f>'пр.5.1.ведом.21-22'!H563</f>
        <v>559.70000000000005</v>
      </c>
    </row>
    <row r="497" spans="1:7" ht="94.5" x14ac:dyDescent="0.25">
      <c r="A497" s="31" t="s">
        <v>307</v>
      </c>
      <c r="B497" s="20" t="s">
        <v>280</v>
      </c>
      <c r="C497" s="20" t="s">
        <v>134</v>
      </c>
      <c r="D497" s="20" t="s">
        <v>1023</v>
      </c>
      <c r="E497" s="20"/>
      <c r="F497" s="6">
        <f>F498</f>
        <v>1629.3</v>
      </c>
      <c r="G497" s="6">
        <f>G498</f>
        <v>1629.3</v>
      </c>
    </row>
    <row r="498" spans="1:7" ht="47.25" x14ac:dyDescent="0.25">
      <c r="A498" s="25" t="s">
        <v>288</v>
      </c>
      <c r="B498" s="20" t="s">
        <v>280</v>
      </c>
      <c r="C498" s="20" t="s">
        <v>134</v>
      </c>
      <c r="D498" s="20" t="s">
        <v>1023</v>
      </c>
      <c r="E498" s="20" t="s">
        <v>289</v>
      </c>
      <c r="F498" s="6">
        <f>F499</f>
        <v>1629.3</v>
      </c>
      <c r="G498" s="6">
        <f>G499</f>
        <v>1629.3</v>
      </c>
    </row>
    <row r="499" spans="1:7" ht="15.75" x14ac:dyDescent="0.25">
      <c r="A499" s="25" t="s">
        <v>290</v>
      </c>
      <c r="B499" s="20" t="s">
        <v>280</v>
      </c>
      <c r="C499" s="20" t="s">
        <v>134</v>
      </c>
      <c r="D499" s="20" t="s">
        <v>1023</v>
      </c>
      <c r="E499" s="20" t="s">
        <v>291</v>
      </c>
      <c r="F499" s="6">
        <f>'пр.5.1.ведом.21-22'!G566</f>
        <v>1629.3</v>
      </c>
      <c r="G499" s="6">
        <f>'пр.5.1.ведом.21-22'!H566</f>
        <v>1629.3</v>
      </c>
    </row>
    <row r="500" spans="1:7" ht="110.25" x14ac:dyDescent="0.25">
      <c r="A500" s="31" t="s">
        <v>1456</v>
      </c>
      <c r="B500" s="20" t="s">
        <v>280</v>
      </c>
      <c r="C500" s="20" t="s">
        <v>134</v>
      </c>
      <c r="D500" s="20" t="s">
        <v>1022</v>
      </c>
      <c r="E500" s="20"/>
      <c r="F500" s="6">
        <f>F501</f>
        <v>80735.399999999994</v>
      </c>
      <c r="G500" s="6">
        <f>G501</f>
        <v>80735.399999999994</v>
      </c>
    </row>
    <row r="501" spans="1:7" ht="47.25" x14ac:dyDescent="0.25">
      <c r="A501" s="25" t="s">
        <v>288</v>
      </c>
      <c r="B501" s="20" t="s">
        <v>280</v>
      </c>
      <c r="C501" s="20" t="s">
        <v>134</v>
      </c>
      <c r="D501" s="20" t="s">
        <v>1022</v>
      </c>
      <c r="E501" s="20" t="s">
        <v>289</v>
      </c>
      <c r="F501" s="6">
        <f>F502</f>
        <v>80735.399999999994</v>
      </c>
      <c r="G501" s="6">
        <f>G502</f>
        <v>80735.399999999994</v>
      </c>
    </row>
    <row r="502" spans="1:7" ht="15.75" x14ac:dyDescent="0.25">
      <c r="A502" s="25" t="s">
        <v>290</v>
      </c>
      <c r="B502" s="20" t="s">
        <v>280</v>
      </c>
      <c r="C502" s="20" t="s">
        <v>134</v>
      </c>
      <c r="D502" s="20" t="s">
        <v>1022</v>
      </c>
      <c r="E502" s="20" t="s">
        <v>291</v>
      </c>
      <c r="F502" s="6">
        <f>'пр.5.1.ведом.21-22'!G569</f>
        <v>80735.399999999994</v>
      </c>
      <c r="G502" s="6">
        <f>'пр.5.1.ведом.21-22'!H569</f>
        <v>80735.399999999994</v>
      </c>
    </row>
    <row r="503" spans="1:7" ht="126" x14ac:dyDescent="0.25">
      <c r="A503" s="31" t="s">
        <v>309</v>
      </c>
      <c r="B503" s="20" t="s">
        <v>280</v>
      </c>
      <c r="C503" s="20" t="s">
        <v>134</v>
      </c>
      <c r="D503" s="20" t="s">
        <v>1024</v>
      </c>
      <c r="E503" s="20"/>
      <c r="F503" s="6">
        <f>F504</f>
        <v>0</v>
      </c>
      <c r="G503" s="6">
        <f>G504</f>
        <v>0</v>
      </c>
    </row>
    <row r="504" spans="1:7" ht="47.25" x14ac:dyDescent="0.25">
      <c r="A504" s="25" t="s">
        <v>288</v>
      </c>
      <c r="B504" s="20" t="s">
        <v>280</v>
      </c>
      <c r="C504" s="20" t="s">
        <v>134</v>
      </c>
      <c r="D504" s="20" t="s">
        <v>1024</v>
      </c>
      <c r="E504" s="20" t="s">
        <v>289</v>
      </c>
      <c r="F504" s="6">
        <f>F505</f>
        <v>0</v>
      </c>
      <c r="G504" s="6">
        <f>G505</f>
        <v>0</v>
      </c>
    </row>
    <row r="505" spans="1:7" ht="15.75" x14ac:dyDescent="0.25">
      <c r="A505" s="25" t="s">
        <v>290</v>
      </c>
      <c r="B505" s="20" t="s">
        <v>280</v>
      </c>
      <c r="C505" s="20" t="s">
        <v>134</v>
      </c>
      <c r="D505" s="20" t="s">
        <v>1024</v>
      </c>
      <c r="E505" s="20" t="s">
        <v>291</v>
      </c>
      <c r="F505" s="6">
        <f>'пр.5.1.ведом.21-22'!G572</f>
        <v>0</v>
      </c>
      <c r="G505" s="6">
        <f>'пр.5.1.ведом.21-22'!H572</f>
        <v>0</v>
      </c>
    </row>
    <row r="506" spans="1:7" ht="47.25" x14ac:dyDescent="0.25">
      <c r="A506" s="23" t="s">
        <v>427</v>
      </c>
      <c r="B506" s="24" t="s">
        <v>280</v>
      </c>
      <c r="C506" s="24" t="s">
        <v>134</v>
      </c>
      <c r="D506" s="24" t="s">
        <v>428</v>
      </c>
      <c r="E506" s="24"/>
      <c r="F506" s="4">
        <f>F507+F517+F527+F534</f>
        <v>10997.7</v>
      </c>
      <c r="G506" s="4">
        <f>G507+G517+G527+G534</f>
        <v>10997.7</v>
      </c>
    </row>
    <row r="507" spans="1:7" ht="31.5" x14ac:dyDescent="0.25">
      <c r="A507" s="23" t="s">
        <v>1007</v>
      </c>
      <c r="B507" s="24" t="s">
        <v>280</v>
      </c>
      <c r="C507" s="24" t="s">
        <v>134</v>
      </c>
      <c r="D507" s="24" t="s">
        <v>1008</v>
      </c>
      <c r="E507" s="24"/>
      <c r="F507" s="4">
        <f>F508+F511+F514</f>
        <v>4430</v>
      </c>
      <c r="G507" s="4">
        <f>G508+G511+G514</f>
        <v>4430</v>
      </c>
    </row>
    <row r="508" spans="1:7" ht="47.25" hidden="1" x14ac:dyDescent="0.25">
      <c r="A508" s="25" t="s">
        <v>294</v>
      </c>
      <c r="B508" s="20" t="s">
        <v>280</v>
      </c>
      <c r="C508" s="20" t="s">
        <v>134</v>
      </c>
      <c r="D508" s="20" t="s">
        <v>1009</v>
      </c>
      <c r="E508" s="20"/>
      <c r="F508" s="6">
        <f>'Пр.3 Рд,пр, ЦС,ВР 20'!F532</f>
        <v>0</v>
      </c>
      <c r="G508" s="6">
        <f t="shared" ref="G508:G545" si="35">F508</f>
        <v>0</v>
      </c>
    </row>
    <row r="509" spans="1:7" ht="47.25" hidden="1" x14ac:dyDescent="0.25">
      <c r="A509" s="25" t="s">
        <v>288</v>
      </c>
      <c r="B509" s="20" t="s">
        <v>280</v>
      </c>
      <c r="C509" s="20" t="s">
        <v>134</v>
      </c>
      <c r="D509" s="20" t="s">
        <v>1009</v>
      </c>
      <c r="E509" s="20" t="s">
        <v>289</v>
      </c>
      <c r="F509" s="6">
        <f>'Пр.3 Рд,пр, ЦС,ВР 20'!F533</f>
        <v>0</v>
      </c>
      <c r="G509" s="6">
        <f t="shared" si="35"/>
        <v>0</v>
      </c>
    </row>
    <row r="510" spans="1:7" ht="15.75" hidden="1" x14ac:dyDescent="0.25">
      <c r="A510" s="25" t="s">
        <v>290</v>
      </c>
      <c r="B510" s="20" t="s">
        <v>280</v>
      </c>
      <c r="C510" s="20" t="s">
        <v>134</v>
      </c>
      <c r="D510" s="20" t="s">
        <v>1009</v>
      </c>
      <c r="E510" s="20" t="s">
        <v>291</v>
      </c>
      <c r="F510" s="6">
        <f>'Пр.3 Рд,пр, ЦС,ВР 20'!F534</f>
        <v>0</v>
      </c>
      <c r="G510" s="6">
        <f t="shared" si="35"/>
        <v>0</v>
      </c>
    </row>
    <row r="511" spans="1:7" ht="31.5" hidden="1" x14ac:dyDescent="0.25">
      <c r="A511" s="25" t="s">
        <v>296</v>
      </c>
      <c r="B511" s="20" t="s">
        <v>280</v>
      </c>
      <c r="C511" s="20" t="s">
        <v>134</v>
      </c>
      <c r="D511" s="20" t="s">
        <v>1010</v>
      </c>
      <c r="E511" s="20"/>
      <c r="F511" s="6">
        <f>'Пр.3 Рд,пр, ЦС,ВР 20'!F535</f>
        <v>0</v>
      </c>
      <c r="G511" s="6">
        <f t="shared" si="35"/>
        <v>0</v>
      </c>
    </row>
    <row r="512" spans="1:7" ht="47.25" hidden="1" x14ac:dyDescent="0.25">
      <c r="A512" s="25" t="s">
        <v>288</v>
      </c>
      <c r="B512" s="20" t="s">
        <v>280</v>
      </c>
      <c r="C512" s="20" t="s">
        <v>134</v>
      </c>
      <c r="D512" s="20" t="s">
        <v>1010</v>
      </c>
      <c r="E512" s="20" t="s">
        <v>289</v>
      </c>
      <c r="F512" s="6">
        <f>'Пр.3 Рд,пр, ЦС,ВР 20'!F536</f>
        <v>0</v>
      </c>
      <c r="G512" s="6">
        <f t="shared" si="35"/>
        <v>0</v>
      </c>
    </row>
    <row r="513" spans="1:7" ht="15.75" hidden="1" x14ac:dyDescent="0.25">
      <c r="A513" s="25" t="s">
        <v>290</v>
      </c>
      <c r="B513" s="20" t="s">
        <v>280</v>
      </c>
      <c r="C513" s="20" t="s">
        <v>134</v>
      </c>
      <c r="D513" s="20" t="s">
        <v>1010</v>
      </c>
      <c r="E513" s="20" t="s">
        <v>291</v>
      </c>
      <c r="F513" s="6">
        <f>'Пр.3 Рд,пр, ЦС,ВР 20'!F537</f>
        <v>0</v>
      </c>
      <c r="G513" s="6">
        <f t="shared" si="35"/>
        <v>0</v>
      </c>
    </row>
    <row r="514" spans="1:7" ht="47.25" x14ac:dyDescent="0.25">
      <c r="A514" s="29" t="s">
        <v>431</v>
      </c>
      <c r="B514" s="20" t="s">
        <v>280</v>
      </c>
      <c r="C514" s="20" t="s">
        <v>134</v>
      </c>
      <c r="D514" s="20" t="s">
        <v>1011</v>
      </c>
      <c r="E514" s="20"/>
      <c r="F514" s="6">
        <f>F515</f>
        <v>4430</v>
      </c>
      <c r="G514" s="6">
        <f>G515</f>
        <v>4430</v>
      </c>
    </row>
    <row r="515" spans="1:7" ht="47.25" x14ac:dyDescent="0.25">
      <c r="A515" s="25" t="s">
        <v>288</v>
      </c>
      <c r="B515" s="20" t="s">
        <v>280</v>
      </c>
      <c r="C515" s="20" t="s">
        <v>134</v>
      </c>
      <c r="D515" s="20" t="s">
        <v>1011</v>
      </c>
      <c r="E515" s="20" t="s">
        <v>289</v>
      </c>
      <c r="F515" s="6">
        <f>F516</f>
        <v>4430</v>
      </c>
      <c r="G515" s="6">
        <f>G516</f>
        <v>4430</v>
      </c>
    </row>
    <row r="516" spans="1:7" ht="15.75" x14ac:dyDescent="0.25">
      <c r="A516" s="25" t="s">
        <v>290</v>
      </c>
      <c r="B516" s="20" t="s">
        <v>280</v>
      </c>
      <c r="C516" s="20" t="s">
        <v>134</v>
      </c>
      <c r="D516" s="20" t="s">
        <v>1011</v>
      </c>
      <c r="E516" s="20" t="s">
        <v>291</v>
      </c>
      <c r="F516" s="6">
        <f>'пр.5.1.ведом.21-22'!G583</f>
        <v>4430</v>
      </c>
      <c r="G516" s="6">
        <f>'пр.5.1.ведом.21-22'!H583</f>
        <v>4430</v>
      </c>
    </row>
    <row r="517" spans="1:7" ht="47.25" x14ac:dyDescent="0.25">
      <c r="A517" s="231" t="s">
        <v>1077</v>
      </c>
      <c r="B517" s="24" t="s">
        <v>280</v>
      </c>
      <c r="C517" s="24" t="s">
        <v>134</v>
      </c>
      <c r="D517" s="24" t="s">
        <v>1012</v>
      </c>
      <c r="E517" s="24"/>
      <c r="F517" s="4">
        <f>F518+F521+F524</f>
        <v>4610</v>
      </c>
      <c r="G517" s="4">
        <f>G518+G521+G524</f>
        <v>4610</v>
      </c>
    </row>
    <row r="518" spans="1:7" ht="31.5" hidden="1" x14ac:dyDescent="0.25">
      <c r="A518" s="25" t="s">
        <v>300</v>
      </c>
      <c r="B518" s="20" t="s">
        <v>280</v>
      </c>
      <c r="C518" s="20" t="s">
        <v>134</v>
      </c>
      <c r="D518" s="20" t="s">
        <v>1013</v>
      </c>
      <c r="E518" s="20"/>
      <c r="F518" s="6">
        <f>'Пр.3 Рд,пр, ЦС,ВР 20'!F542</f>
        <v>0</v>
      </c>
      <c r="G518" s="6">
        <f t="shared" si="35"/>
        <v>0</v>
      </c>
    </row>
    <row r="519" spans="1:7" ht="47.25" hidden="1" x14ac:dyDescent="0.25">
      <c r="A519" s="25" t="s">
        <v>288</v>
      </c>
      <c r="B519" s="20" t="s">
        <v>280</v>
      </c>
      <c r="C519" s="20" t="s">
        <v>134</v>
      </c>
      <c r="D519" s="20" t="s">
        <v>1013</v>
      </c>
      <c r="E519" s="20" t="s">
        <v>289</v>
      </c>
      <c r="F519" s="6">
        <f>'Пр.3 Рд,пр, ЦС,ВР 20'!F543</f>
        <v>0</v>
      </c>
      <c r="G519" s="6">
        <f t="shared" si="35"/>
        <v>0</v>
      </c>
    </row>
    <row r="520" spans="1:7" ht="15.75" hidden="1" x14ac:dyDescent="0.25">
      <c r="A520" s="25" t="s">
        <v>290</v>
      </c>
      <c r="B520" s="20" t="s">
        <v>280</v>
      </c>
      <c r="C520" s="20" t="s">
        <v>134</v>
      </c>
      <c r="D520" s="20" t="s">
        <v>1013</v>
      </c>
      <c r="E520" s="20" t="s">
        <v>291</v>
      </c>
      <c r="F520" s="6">
        <f>'Пр.3 Рд,пр, ЦС,ВР 20'!F544</f>
        <v>0</v>
      </c>
      <c r="G520" s="6">
        <f t="shared" si="35"/>
        <v>0</v>
      </c>
    </row>
    <row r="521" spans="1:7" ht="47.25" x14ac:dyDescent="0.25">
      <c r="A521" s="60" t="s">
        <v>787</v>
      </c>
      <c r="B521" s="20" t="s">
        <v>280</v>
      </c>
      <c r="C521" s="20" t="s">
        <v>134</v>
      </c>
      <c r="D521" s="20" t="s">
        <v>1014</v>
      </c>
      <c r="E521" s="20"/>
      <c r="F521" s="6">
        <f>F522</f>
        <v>2850</v>
      </c>
      <c r="G521" s="6">
        <f>G522</f>
        <v>2850</v>
      </c>
    </row>
    <row r="522" spans="1:7" ht="47.25" x14ac:dyDescent="0.25">
      <c r="A522" s="29" t="s">
        <v>288</v>
      </c>
      <c r="B522" s="20" t="s">
        <v>280</v>
      </c>
      <c r="C522" s="20" t="s">
        <v>134</v>
      </c>
      <c r="D522" s="20" t="s">
        <v>1014</v>
      </c>
      <c r="E522" s="20" t="s">
        <v>289</v>
      </c>
      <c r="F522" s="6">
        <f>F523</f>
        <v>2850</v>
      </c>
      <c r="G522" s="6">
        <f>G523</f>
        <v>2850</v>
      </c>
    </row>
    <row r="523" spans="1:7" ht="15.75" x14ac:dyDescent="0.25">
      <c r="A523" s="192" t="s">
        <v>290</v>
      </c>
      <c r="B523" s="20" t="s">
        <v>280</v>
      </c>
      <c r="C523" s="20" t="s">
        <v>134</v>
      </c>
      <c r="D523" s="20" t="s">
        <v>1014</v>
      </c>
      <c r="E523" s="20" t="s">
        <v>291</v>
      </c>
      <c r="F523" s="6">
        <f>'пр.5.1.ведом.21-22'!G590</f>
        <v>2850</v>
      </c>
      <c r="G523" s="6">
        <f>'пр.5.1.ведом.21-22'!H590</f>
        <v>2850</v>
      </c>
    </row>
    <row r="524" spans="1:7" ht="63" x14ac:dyDescent="0.25">
      <c r="A524" s="60" t="s">
        <v>788</v>
      </c>
      <c r="B524" s="20" t="s">
        <v>280</v>
      </c>
      <c r="C524" s="20" t="s">
        <v>134</v>
      </c>
      <c r="D524" s="20" t="s">
        <v>1015</v>
      </c>
      <c r="E524" s="20"/>
      <c r="F524" s="6">
        <f>F525</f>
        <v>1760</v>
      </c>
      <c r="G524" s="6">
        <f>G525</f>
        <v>1760</v>
      </c>
    </row>
    <row r="525" spans="1:7" ht="47.25" x14ac:dyDescent="0.25">
      <c r="A525" s="29" t="s">
        <v>288</v>
      </c>
      <c r="B525" s="20" t="s">
        <v>280</v>
      </c>
      <c r="C525" s="20" t="s">
        <v>134</v>
      </c>
      <c r="D525" s="20" t="s">
        <v>1015</v>
      </c>
      <c r="E525" s="20" t="s">
        <v>289</v>
      </c>
      <c r="F525" s="6">
        <f>F526</f>
        <v>1760</v>
      </c>
      <c r="G525" s="6">
        <f>G526</f>
        <v>1760</v>
      </c>
    </row>
    <row r="526" spans="1:7" ht="15.75" x14ac:dyDescent="0.25">
      <c r="A526" s="192" t="s">
        <v>290</v>
      </c>
      <c r="B526" s="20" t="s">
        <v>280</v>
      </c>
      <c r="C526" s="20" t="s">
        <v>134</v>
      </c>
      <c r="D526" s="20" t="s">
        <v>1015</v>
      </c>
      <c r="E526" s="20" t="s">
        <v>291</v>
      </c>
      <c r="F526" s="6">
        <f>'пр.5.1.ведом.21-22'!G593</f>
        <v>1760</v>
      </c>
      <c r="G526" s="6">
        <f>'пр.5.1.ведом.21-22'!H593</f>
        <v>1760</v>
      </c>
    </row>
    <row r="527" spans="1:7" ht="78" customHeight="1" x14ac:dyDescent="0.25">
      <c r="A527" s="23" t="s">
        <v>1016</v>
      </c>
      <c r="B527" s="24" t="s">
        <v>280</v>
      </c>
      <c r="C527" s="24" t="s">
        <v>134</v>
      </c>
      <c r="D527" s="24" t="s">
        <v>1017</v>
      </c>
      <c r="E527" s="24"/>
      <c r="F527" s="4">
        <f>F528+F531</f>
        <v>291.10000000000002</v>
      </c>
      <c r="G527" s="4">
        <f>G528+G531</f>
        <v>291.10000000000002</v>
      </c>
    </row>
    <row r="528" spans="1:7" ht="173.25" x14ac:dyDescent="0.25">
      <c r="A528" s="25" t="s">
        <v>1464</v>
      </c>
      <c r="B528" s="20" t="s">
        <v>280</v>
      </c>
      <c r="C528" s="20" t="s">
        <v>134</v>
      </c>
      <c r="D528" s="20" t="s">
        <v>1018</v>
      </c>
      <c r="E528" s="20"/>
      <c r="F528" s="6">
        <f>F529</f>
        <v>124.4</v>
      </c>
      <c r="G528" s="6">
        <f>G529</f>
        <v>124.4</v>
      </c>
    </row>
    <row r="529" spans="1:7" ht="47.25" x14ac:dyDescent="0.25">
      <c r="A529" s="29" t="s">
        <v>288</v>
      </c>
      <c r="B529" s="20" t="s">
        <v>280</v>
      </c>
      <c r="C529" s="20" t="s">
        <v>134</v>
      </c>
      <c r="D529" s="20" t="s">
        <v>1018</v>
      </c>
      <c r="E529" s="20" t="s">
        <v>289</v>
      </c>
      <c r="F529" s="6">
        <f>F530</f>
        <v>124.4</v>
      </c>
      <c r="G529" s="6">
        <f>G530</f>
        <v>124.4</v>
      </c>
    </row>
    <row r="530" spans="1:7" ht="15.75" x14ac:dyDescent="0.25">
      <c r="A530" s="192" t="s">
        <v>290</v>
      </c>
      <c r="B530" s="20" t="s">
        <v>280</v>
      </c>
      <c r="C530" s="20" t="s">
        <v>134</v>
      </c>
      <c r="D530" s="20" t="s">
        <v>1018</v>
      </c>
      <c r="E530" s="20" t="s">
        <v>291</v>
      </c>
      <c r="F530" s="6">
        <f>'пр.5.1.ведом.21-22'!G597</f>
        <v>124.4</v>
      </c>
      <c r="G530" s="6">
        <f>'пр.5.1.ведом.21-22'!H597</f>
        <v>124.4</v>
      </c>
    </row>
    <row r="531" spans="1:7" ht="173.25" x14ac:dyDescent="0.25">
      <c r="A531" s="25" t="s">
        <v>439</v>
      </c>
      <c r="B531" s="20" t="s">
        <v>280</v>
      </c>
      <c r="C531" s="20" t="s">
        <v>134</v>
      </c>
      <c r="D531" s="20" t="s">
        <v>1019</v>
      </c>
      <c r="E531" s="20"/>
      <c r="F531" s="6">
        <f>F532</f>
        <v>166.7</v>
      </c>
      <c r="G531" s="6">
        <f>G532</f>
        <v>166.7</v>
      </c>
    </row>
    <row r="532" spans="1:7" ht="47.25" x14ac:dyDescent="0.25">
      <c r="A532" s="25" t="s">
        <v>288</v>
      </c>
      <c r="B532" s="20" t="s">
        <v>280</v>
      </c>
      <c r="C532" s="20" t="s">
        <v>134</v>
      </c>
      <c r="D532" s="20" t="s">
        <v>1019</v>
      </c>
      <c r="E532" s="20" t="s">
        <v>289</v>
      </c>
      <c r="F532" s="6">
        <f>F533</f>
        <v>166.7</v>
      </c>
      <c r="G532" s="6">
        <f>G533</f>
        <v>166.7</v>
      </c>
    </row>
    <row r="533" spans="1:7" ht="15.75" x14ac:dyDescent="0.25">
      <c r="A533" s="25" t="s">
        <v>290</v>
      </c>
      <c r="B533" s="20" t="s">
        <v>280</v>
      </c>
      <c r="C533" s="20" t="s">
        <v>134</v>
      </c>
      <c r="D533" s="20" t="s">
        <v>1019</v>
      </c>
      <c r="E533" s="20" t="s">
        <v>291</v>
      </c>
      <c r="F533" s="6">
        <f>'пр.5.1.ведом.21-22'!G600</f>
        <v>166.7</v>
      </c>
      <c r="G533" s="6">
        <f>'пр.5.1.ведом.21-22'!H600</f>
        <v>166.7</v>
      </c>
    </row>
    <row r="534" spans="1:7" s="217" customFormat="1" ht="126" x14ac:dyDescent="0.25">
      <c r="A534" s="23" t="s">
        <v>1401</v>
      </c>
      <c r="B534" s="24" t="s">
        <v>280</v>
      </c>
      <c r="C534" s="24" t="s">
        <v>134</v>
      </c>
      <c r="D534" s="24" t="s">
        <v>1399</v>
      </c>
      <c r="E534" s="24"/>
      <c r="F534" s="21">
        <f>F535+F538</f>
        <v>1666.6</v>
      </c>
      <c r="G534" s="21">
        <f>G535+G538</f>
        <v>1666.6</v>
      </c>
    </row>
    <row r="535" spans="1:7" s="217" customFormat="1" ht="110.25" x14ac:dyDescent="0.25">
      <c r="A535" s="151" t="s">
        <v>1465</v>
      </c>
      <c r="B535" s="20" t="s">
        <v>280</v>
      </c>
      <c r="C535" s="20" t="s">
        <v>134</v>
      </c>
      <c r="D535" s="20" t="s">
        <v>1403</v>
      </c>
      <c r="E535" s="20"/>
      <c r="F535" s="26">
        <f>F536</f>
        <v>0</v>
      </c>
      <c r="G535" s="26">
        <f>G536</f>
        <v>0</v>
      </c>
    </row>
    <row r="536" spans="1:7" s="217" customFormat="1" ht="47.25" x14ac:dyDescent="0.25">
      <c r="A536" s="25" t="s">
        <v>288</v>
      </c>
      <c r="B536" s="20" t="s">
        <v>280</v>
      </c>
      <c r="C536" s="20" t="s">
        <v>134</v>
      </c>
      <c r="D536" s="20" t="s">
        <v>1403</v>
      </c>
      <c r="E536" s="20" t="s">
        <v>289</v>
      </c>
      <c r="F536" s="26">
        <f>F537</f>
        <v>0</v>
      </c>
      <c r="G536" s="26">
        <f>G537</f>
        <v>0</v>
      </c>
    </row>
    <row r="537" spans="1:7" s="217" customFormat="1" ht="15.75" x14ac:dyDescent="0.25">
      <c r="A537" s="25" t="s">
        <v>290</v>
      </c>
      <c r="B537" s="20" t="s">
        <v>280</v>
      </c>
      <c r="C537" s="20" t="s">
        <v>134</v>
      </c>
      <c r="D537" s="20" t="s">
        <v>1403</v>
      </c>
      <c r="E537" s="20" t="s">
        <v>291</v>
      </c>
      <c r="F537" s="26">
        <f>'пр.5.1.ведом.21-22'!G609</f>
        <v>0</v>
      </c>
      <c r="G537" s="6">
        <f>'пр.5.1.ведом.21-22'!H609</f>
        <v>0</v>
      </c>
    </row>
    <row r="538" spans="1:7" s="217" customFormat="1" ht="116.45" customHeight="1" x14ac:dyDescent="0.25">
      <c r="A538" s="151" t="s">
        <v>1400</v>
      </c>
      <c r="B538" s="20" t="s">
        <v>280</v>
      </c>
      <c r="C538" s="20" t="s">
        <v>134</v>
      </c>
      <c r="D538" s="20" t="s">
        <v>1402</v>
      </c>
      <c r="E538" s="20"/>
      <c r="F538" s="26">
        <f>F539</f>
        <v>1666.6</v>
      </c>
      <c r="G538" s="26">
        <f>G539</f>
        <v>1666.6</v>
      </c>
    </row>
    <row r="539" spans="1:7" s="217" customFormat="1" ht="47.25" x14ac:dyDescent="0.25">
      <c r="A539" s="25" t="s">
        <v>288</v>
      </c>
      <c r="B539" s="20" t="s">
        <v>280</v>
      </c>
      <c r="C539" s="20" t="s">
        <v>134</v>
      </c>
      <c r="D539" s="20" t="s">
        <v>1402</v>
      </c>
      <c r="E539" s="20" t="s">
        <v>289</v>
      </c>
      <c r="F539" s="26">
        <f>F540</f>
        <v>1666.6</v>
      </c>
      <c r="G539" s="26">
        <f>G540</f>
        <v>1666.6</v>
      </c>
    </row>
    <row r="540" spans="1:7" s="217" customFormat="1" ht="15.75" x14ac:dyDescent="0.25">
      <c r="A540" s="25" t="s">
        <v>290</v>
      </c>
      <c r="B540" s="20" t="s">
        <v>280</v>
      </c>
      <c r="C540" s="20" t="s">
        <v>134</v>
      </c>
      <c r="D540" s="20" t="s">
        <v>1402</v>
      </c>
      <c r="E540" s="20" t="s">
        <v>291</v>
      </c>
      <c r="F540" s="26">
        <f>'пр.5.1.ведом.21-22'!G612</f>
        <v>1666.6</v>
      </c>
      <c r="G540" s="6">
        <f>'пр.5.1.ведом.21-22'!H612</f>
        <v>1666.6</v>
      </c>
    </row>
    <row r="541" spans="1:7" ht="78.75" hidden="1" x14ac:dyDescent="0.25">
      <c r="A541" s="34" t="s">
        <v>805</v>
      </c>
      <c r="B541" s="24" t="s">
        <v>280</v>
      </c>
      <c r="C541" s="24" t="s">
        <v>134</v>
      </c>
      <c r="D541" s="24" t="s">
        <v>340</v>
      </c>
      <c r="E541" s="24"/>
      <c r="F541" s="4">
        <f>F542</f>
        <v>0</v>
      </c>
      <c r="G541" s="4">
        <f>G542</f>
        <v>0</v>
      </c>
    </row>
    <row r="542" spans="1:7" ht="63" hidden="1" x14ac:dyDescent="0.25">
      <c r="A542" s="34" t="s">
        <v>1162</v>
      </c>
      <c r="B542" s="24" t="s">
        <v>280</v>
      </c>
      <c r="C542" s="24" t="s">
        <v>134</v>
      </c>
      <c r="D542" s="24" t="s">
        <v>1025</v>
      </c>
      <c r="E542" s="24"/>
      <c r="F542" s="4">
        <f>F543</f>
        <v>0</v>
      </c>
      <c r="G542" s="4">
        <f>G543</f>
        <v>0</v>
      </c>
    </row>
    <row r="543" spans="1:7" ht="63" hidden="1" x14ac:dyDescent="0.25">
      <c r="A543" s="31" t="s">
        <v>1161</v>
      </c>
      <c r="B543" s="20" t="s">
        <v>280</v>
      </c>
      <c r="C543" s="20" t="s">
        <v>134</v>
      </c>
      <c r="D543" s="20" t="s">
        <v>1026</v>
      </c>
      <c r="E543" s="20"/>
      <c r="F543" s="6">
        <f>'Пр.3 Рд,пр, ЦС,ВР 20'!F560</f>
        <v>0</v>
      </c>
      <c r="G543" s="6">
        <f t="shared" si="35"/>
        <v>0</v>
      </c>
    </row>
    <row r="544" spans="1:7" ht="47.25" hidden="1" x14ac:dyDescent="0.25">
      <c r="A544" s="31" t="s">
        <v>288</v>
      </c>
      <c r="B544" s="20" t="s">
        <v>280</v>
      </c>
      <c r="C544" s="20" t="s">
        <v>134</v>
      </c>
      <c r="D544" s="20" t="s">
        <v>1026</v>
      </c>
      <c r="E544" s="20" t="s">
        <v>289</v>
      </c>
      <c r="F544" s="6">
        <f>'Пр.3 Рд,пр, ЦС,ВР 20'!F561</f>
        <v>0</v>
      </c>
      <c r="G544" s="6">
        <f t="shared" si="35"/>
        <v>0</v>
      </c>
    </row>
    <row r="545" spans="1:7" ht="15.75" hidden="1" x14ac:dyDescent="0.25">
      <c r="A545" s="31" t="s">
        <v>290</v>
      </c>
      <c r="B545" s="20" t="s">
        <v>280</v>
      </c>
      <c r="C545" s="20" t="s">
        <v>134</v>
      </c>
      <c r="D545" s="20" t="s">
        <v>1026</v>
      </c>
      <c r="E545" s="20" t="s">
        <v>291</v>
      </c>
      <c r="F545" s="6">
        <f>'Пр.3 Рд,пр, ЦС,ВР 20'!F562</f>
        <v>0</v>
      </c>
      <c r="G545" s="6">
        <f t="shared" si="35"/>
        <v>0</v>
      </c>
    </row>
    <row r="546" spans="1:7" ht="78.75" x14ac:dyDescent="0.25">
      <c r="A546" s="41" t="s">
        <v>1425</v>
      </c>
      <c r="B546" s="24" t="s">
        <v>280</v>
      </c>
      <c r="C546" s="24" t="s">
        <v>134</v>
      </c>
      <c r="D546" s="24" t="s">
        <v>728</v>
      </c>
      <c r="E546" s="235"/>
      <c r="F546" s="4">
        <f>F547</f>
        <v>464.3</v>
      </c>
      <c r="G546" s="4">
        <f>G547</f>
        <v>464.3</v>
      </c>
    </row>
    <row r="547" spans="1:7" ht="63" x14ac:dyDescent="0.25">
      <c r="A547" s="41" t="s">
        <v>949</v>
      </c>
      <c r="B547" s="24" t="s">
        <v>280</v>
      </c>
      <c r="C547" s="24" t="s">
        <v>134</v>
      </c>
      <c r="D547" s="24" t="s">
        <v>947</v>
      </c>
      <c r="E547" s="235"/>
      <c r="F547" s="4">
        <f t="shared" ref="F547:G547" si="36">F548</f>
        <v>464.3</v>
      </c>
      <c r="G547" s="4">
        <f t="shared" si="36"/>
        <v>464.3</v>
      </c>
    </row>
    <row r="548" spans="1:7" ht="47.25" x14ac:dyDescent="0.25">
      <c r="A548" s="99" t="s">
        <v>803</v>
      </c>
      <c r="B548" s="20" t="s">
        <v>280</v>
      </c>
      <c r="C548" s="20" t="s">
        <v>134</v>
      </c>
      <c r="D548" s="20" t="s">
        <v>1027</v>
      </c>
      <c r="E548" s="32"/>
      <c r="F548" s="6">
        <f>F549</f>
        <v>464.3</v>
      </c>
      <c r="G548" s="6">
        <f>G549</f>
        <v>464.3</v>
      </c>
    </row>
    <row r="549" spans="1:7" ht="47.25" x14ac:dyDescent="0.25">
      <c r="A549" s="29" t="s">
        <v>288</v>
      </c>
      <c r="B549" s="20" t="s">
        <v>280</v>
      </c>
      <c r="C549" s="20" t="s">
        <v>134</v>
      </c>
      <c r="D549" s="20" t="s">
        <v>1027</v>
      </c>
      <c r="E549" s="32" t="s">
        <v>289</v>
      </c>
      <c r="F549" s="6">
        <f>F550</f>
        <v>464.3</v>
      </c>
      <c r="G549" s="6">
        <f>G550</f>
        <v>464.3</v>
      </c>
    </row>
    <row r="550" spans="1:7" ht="15.75" x14ac:dyDescent="0.25">
      <c r="A550" s="192" t="s">
        <v>290</v>
      </c>
      <c r="B550" s="20" t="s">
        <v>280</v>
      </c>
      <c r="C550" s="20" t="s">
        <v>134</v>
      </c>
      <c r="D550" s="20" t="s">
        <v>1027</v>
      </c>
      <c r="E550" s="32" t="s">
        <v>291</v>
      </c>
      <c r="F550" s="6">
        <f>'пр.5.1.ведом.21-22'!G617</f>
        <v>464.3</v>
      </c>
      <c r="G550" s="6">
        <f>'пр.5.1.ведом.21-22'!H617</f>
        <v>464.3</v>
      </c>
    </row>
    <row r="551" spans="1:7" ht="15.75" x14ac:dyDescent="0.25">
      <c r="A551" s="41" t="s">
        <v>441</v>
      </c>
      <c r="B551" s="7" t="s">
        <v>280</v>
      </c>
      <c r="C551" s="7" t="s">
        <v>229</v>
      </c>
      <c r="D551" s="7"/>
      <c r="E551" s="7"/>
      <c r="F551" s="4">
        <f>F552+F625+F630</f>
        <v>193443.7</v>
      </c>
      <c r="G551" s="4">
        <f>G552+G625+G630</f>
        <v>193452.2</v>
      </c>
    </row>
    <row r="552" spans="1:7" ht="47.25" x14ac:dyDescent="0.25">
      <c r="A552" s="23" t="s">
        <v>1431</v>
      </c>
      <c r="B552" s="24" t="s">
        <v>280</v>
      </c>
      <c r="C552" s="24" t="s">
        <v>229</v>
      </c>
      <c r="D552" s="24" t="s">
        <v>422</v>
      </c>
      <c r="E552" s="24"/>
      <c r="F552" s="4">
        <f>F553+F586</f>
        <v>192720.40000000002</v>
      </c>
      <c r="G552" s="4">
        <f>G553+G586</f>
        <v>192728.90000000002</v>
      </c>
    </row>
    <row r="553" spans="1:7" ht="47.25" x14ac:dyDescent="0.25">
      <c r="A553" s="23" t="s">
        <v>423</v>
      </c>
      <c r="B553" s="24" t="s">
        <v>280</v>
      </c>
      <c r="C553" s="24" t="s">
        <v>229</v>
      </c>
      <c r="D553" s="24" t="s">
        <v>424</v>
      </c>
      <c r="E553" s="24"/>
      <c r="F553" s="4">
        <f>F554+F564</f>
        <v>183876.30000000002</v>
      </c>
      <c r="G553" s="4">
        <f>G554+G564</f>
        <v>183876.30000000002</v>
      </c>
    </row>
    <row r="554" spans="1:7" ht="47.25" x14ac:dyDescent="0.25">
      <c r="A554" s="23" t="s">
        <v>1028</v>
      </c>
      <c r="B554" s="24" t="s">
        <v>280</v>
      </c>
      <c r="C554" s="24" t="s">
        <v>229</v>
      </c>
      <c r="D554" s="24" t="s">
        <v>1006</v>
      </c>
      <c r="E554" s="24"/>
      <c r="F554" s="4">
        <f>F555+F558+F561</f>
        <v>28803</v>
      </c>
      <c r="G554" s="4">
        <f>G555+G558+G561</f>
        <v>28803</v>
      </c>
    </row>
    <row r="555" spans="1:7" ht="63" x14ac:dyDescent="0.25">
      <c r="A555" s="25" t="s">
        <v>1068</v>
      </c>
      <c r="B555" s="20" t="s">
        <v>280</v>
      </c>
      <c r="C555" s="20" t="s">
        <v>229</v>
      </c>
      <c r="D555" s="20" t="s">
        <v>1065</v>
      </c>
      <c r="E555" s="20"/>
      <c r="F555" s="6">
        <f>F556</f>
        <v>9775.4</v>
      </c>
      <c r="G555" s="6">
        <f>G556</f>
        <v>9775.4</v>
      </c>
    </row>
    <row r="556" spans="1:7" ht="47.25" x14ac:dyDescent="0.25">
      <c r="A556" s="25" t="s">
        <v>288</v>
      </c>
      <c r="B556" s="20" t="s">
        <v>280</v>
      </c>
      <c r="C556" s="20" t="s">
        <v>229</v>
      </c>
      <c r="D556" s="20" t="s">
        <v>1065</v>
      </c>
      <c r="E556" s="20" t="s">
        <v>289</v>
      </c>
      <c r="F556" s="6">
        <f>F557</f>
        <v>9775.4</v>
      </c>
      <c r="G556" s="6">
        <f>G557</f>
        <v>9775.4</v>
      </c>
    </row>
    <row r="557" spans="1:7" ht="15.75" x14ac:dyDescent="0.25">
      <c r="A557" s="25" t="s">
        <v>290</v>
      </c>
      <c r="B557" s="20" t="s">
        <v>280</v>
      </c>
      <c r="C557" s="20" t="s">
        <v>229</v>
      </c>
      <c r="D557" s="20" t="s">
        <v>1065</v>
      </c>
      <c r="E557" s="20" t="s">
        <v>291</v>
      </c>
      <c r="F557" s="6">
        <f>'пр.5.1.ведом.21-22'!G624</f>
        <v>9775.4</v>
      </c>
      <c r="G557" s="6">
        <f>'пр.5.1.ведом.21-22'!H624</f>
        <v>9775.4</v>
      </c>
    </row>
    <row r="558" spans="1:7" ht="63" x14ac:dyDescent="0.25">
      <c r="A558" s="25" t="s">
        <v>1069</v>
      </c>
      <c r="B558" s="20" t="s">
        <v>280</v>
      </c>
      <c r="C558" s="20" t="s">
        <v>229</v>
      </c>
      <c r="D558" s="20" t="s">
        <v>1066</v>
      </c>
      <c r="E558" s="20"/>
      <c r="F558" s="6">
        <f>F559</f>
        <v>12351.7</v>
      </c>
      <c r="G558" s="6">
        <f>G559</f>
        <v>12351.7</v>
      </c>
    </row>
    <row r="559" spans="1:7" ht="47.25" x14ac:dyDescent="0.25">
      <c r="A559" s="25" t="s">
        <v>288</v>
      </c>
      <c r="B559" s="20" t="s">
        <v>280</v>
      </c>
      <c r="C559" s="20" t="s">
        <v>229</v>
      </c>
      <c r="D559" s="20" t="s">
        <v>1066</v>
      </c>
      <c r="E559" s="20" t="s">
        <v>289</v>
      </c>
      <c r="F559" s="6">
        <f>F560</f>
        <v>12351.7</v>
      </c>
      <c r="G559" s="6">
        <f>G560</f>
        <v>12351.7</v>
      </c>
    </row>
    <row r="560" spans="1:7" ht="15.75" x14ac:dyDescent="0.25">
      <c r="A560" s="25" t="s">
        <v>290</v>
      </c>
      <c r="B560" s="20" t="s">
        <v>280</v>
      </c>
      <c r="C560" s="20" t="s">
        <v>229</v>
      </c>
      <c r="D560" s="20" t="s">
        <v>1066</v>
      </c>
      <c r="E560" s="20" t="s">
        <v>291</v>
      </c>
      <c r="F560" s="6">
        <f>'пр.5.1.ведом.21-22'!G627</f>
        <v>12351.7</v>
      </c>
      <c r="G560" s="6">
        <f>'пр.5.1.ведом.21-22'!H627</f>
        <v>12351.7</v>
      </c>
    </row>
    <row r="561" spans="1:7" ht="63" x14ac:dyDescent="0.25">
      <c r="A561" s="25" t="s">
        <v>1070</v>
      </c>
      <c r="B561" s="20" t="s">
        <v>280</v>
      </c>
      <c r="C561" s="20" t="s">
        <v>229</v>
      </c>
      <c r="D561" s="20" t="s">
        <v>1067</v>
      </c>
      <c r="E561" s="20"/>
      <c r="F561" s="6">
        <f>F562</f>
        <v>6675.9</v>
      </c>
      <c r="G561" s="6">
        <f>G562</f>
        <v>6675.9</v>
      </c>
    </row>
    <row r="562" spans="1:7" ht="47.25" x14ac:dyDescent="0.25">
      <c r="A562" s="25" t="s">
        <v>288</v>
      </c>
      <c r="B562" s="20" t="s">
        <v>280</v>
      </c>
      <c r="C562" s="20" t="s">
        <v>229</v>
      </c>
      <c r="D562" s="20" t="s">
        <v>1067</v>
      </c>
      <c r="E562" s="20" t="s">
        <v>289</v>
      </c>
      <c r="F562" s="6">
        <f>F563</f>
        <v>6675.9</v>
      </c>
      <c r="G562" s="6">
        <f>G563</f>
        <v>6675.9</v>
      </c>
    </row>
    <row r="563" spans="1:7" ht="15.75" x14ac:dyDescent="0.25">
      <c r="A563" s="25" t="s">
        <v>290</v>
      </c>
      <c r="B563" s="20" t="s">
        <v>280</v>
      </c>
      <c r="C563" s="20" t="s">
        <v>229</v>
      </c>
      <c r="D563" s="20" t="s">
        <v>1067</v>
      </c>
      <c r="E563" s="20" t="s">
        <v>291</v>
      </c>
      <c r="F563" s="6">
        <f>'пр.5.1.ведом.21-22'!G630</f>
        <v>6675.9</v>
      </c>
      <c r="G563" s="6">
        <f>'пр.5.1.ведом.21-22'!H630</f>
        <v>6675.9</v>
      </c>
    </row>
    <row r="564" spans="1:7" ht="54" customHeight="1" x14ac:dyDescent="0.25">
      <c r="A564" s="23" t="s">
        <v>971</v>
      </c>
      <c r="B564" s="24" t="s">
        <v>280</v>
      </c>
      <c r="C564" s="24" t="s">
        <v>229</v>
      </c>
      <c r="D564" s="24" t="s">
        <v>1021</v>
      </c>
      <c r="E564" s="24"/>
      <c r="F564" s="4">
        <f>F571+F574+F577+F580+F583+F568+F565</f>
        <v>155073.30000000002</v>
      </c>
      <c r="G564" s="4">
        <f>G571+G574+G577+G580+G583+G568+G565</f>
        <v>155073.30000000002</v>
      </c>
    </row>
    <row r="565" spans="1:7" s="331" customFormat="1" ht="78.75" x14ac:dyDescent="0.25">
      <c r="A565" s="342" t="s">
        <v>1527</v>
      </c>
      <c r="B565" s="338" t="s">
        <v>280</v>
      </c>
      <c r="C565" s="338" t="s">
        <v>229</v>
      </c>
      <c r="D565" s="338" t="s">
        <v>1528</v>
      </c>
      <c r="E565" s="338"/>
      <c r="F565" s="6">
        <f>F566</f>
        <v>2636.6</v>
      </c>
      <c r="G565" s="6">
        <f>G566</f>
        <v>2636.6</v>
      </c>
    </row>
    <row r="566" spans="1:7" s="331" customFormat="1" ht="47.25" x14ac:dyDescent="0.25">
      <c r="A566" s="342" t="s">
        <v>288</v>
      </c>
      <c r="B566" s="338" t="s">
        <v>280</v>
      </c>
      <c r="C566" s="338" t="s">
        <v>229</v>
      </c>
      <c r="D566" s="338" t="s">
        <v>1528</v>
      </c>
      <c r="E566" s="338" t="s">
        <v>289</v>
      </c>
      <c r="F566" s="6">
        <f>F567</f>
        <v>2636.6</v>
      </c>
      <c r="G566" s="6">
        <f>G567</f>
        <v>2636.6</v>
      </c>
    </row>
    <row r="567" spans="1:7" s="331" customFormat="1" ht="15.75" x14ac:dyDescent="0.25">
      <c r="A567" s="342" t="s">
        <v>290</v>
      </c>
      <c r="B567" s="338" t="s">
        <v>280</v>
      </c>
      <c r="C567" s="338" t="s">
        <v>229</v>
      </c>
      <c r="D567" s="338" t="s">
        <v>1528</v>
      </c>
      <c r="E567" s="338" t="s">
        <v>291</v>
      </c>
      <c r="F567" s="6">
        <f>'пр.5.1.ведом.21-22'!G634</f>
        <v>2636.6</v>
      </c>
      <c r="G567" s="6">
        <f>'пр.5.1.ведом.21-22'!H634</f>
        <v>2636.6</v>
      </c>
    </row>
    <row r="568" spans="1:7" s="331" customFormat="1" ht="112.7" customHeight="1" x14ac:dyDescent="0.25">
      <c r="A568" s="31" t="s">
        <v>480</v>
      </c>
      <c r="B568" s="338" t="s">
        <v>280</v>
      </c>
      <c r="C568" s="338" t="s">
        <v>229</v>
      </c>
      <c r="D568" s="338" t="s">
        <v>1519</v>
      </c>
      <c r="E568" s="338"/>
      <c r="F568" s="6">
        <f>F569</f>
        <v>4841</v>
      </c>
      <c r="G568" s="6">
        <f>G569</f>
        <v>4841</v>
      </c>
    </row>
    <row r="569" spans="1:7" s="331" customFormat="1" ht="54" customHeight="1" x14ac:dyDescent="0.25">
      <c r="A569" s="342" t="s">
        <v>288</v>
      </c>
      <c r="B569" s="338" t="s">
        <v>280</v>
      </c>
      <c r="C569" s="338" t="s">
        <v>229</v>
      </c>
      <c r="D569" s="338" t="s">
        <v>1519</v>
      </c>
      <c r="E569" s="338" t="s">
        <v>289</v>
      </c>
      <c r="F569" s="6">
        <f>F570</f>
        <v>4841</v>
      </c>
      <c r="G569" s="6">
        <f>G570</f>
        <v>4841</v>
      </c>
    </row>
    <row r="570" spans="1:7" s="331" customFormat="1" ht="15.75" x14ac:dyDescent="0.25">
      <c r="A570" s="342" t="s">
        <v>290</v>
      </c>
      <c r="B570" s="338" t="s">
        <v>280</v>
      </c>
      <c r="C570" s="338" t="s">
        <v>229</v>
      </c>
      <c r="D570" s="338" t="s">
        <v>1519</v>
      </c>
      <c r="E570" s="338" t="s">
        <v>291</v>
      </c>
      <c r="F570" s="6">
        <f>'пр.5.1.ведом.21-22'!G637</f>
        <v>4841</v>
      </c>
      <c r="G570" s="6">
        <f>'пр.5.1.ведом.21-22'!H637</f>
        <v>4841</v>
      </c>
    </row>
    <row r="571" spans="1:7" ht="96" customHeight="1" x14ac:dyDescent="0.25">
      <c r="A571" s="31" t="s">
        <v>1457</v>
      </c>
      <c r="B571" s="20" t="s">
        <v>280</v>
      </c>
      <c r="C571" s="20" t="s">
        <v>229</v>
      </c>
      <c r="D571" s="20" t="s">
        <v>1049</v>
      </c>
      <c r="E571" s="20"/>
      <c r="F571" s="6">
        <f>F572</f>
        <v>143160</v>
      </c>
      <c r="G571" s="6">
        <f>G572</f>
        <v>143160</v>
      </c>
    </row>
    <row r="572" spans="1:7" ht="47.25" x14ac:dyDescent="0.25">
      <c r="A572" s="25" t="s">
        <v>288</v>
      </c>
      <c r="B572" s="20" t="s">
        <v>280</v>
      </c>
      <c r="C572" s="20" t="s">
        <v>229</v>
      </c>
      <c r="D572" s="20" t="s">
        <v>1049</v>
      </c>
      <c r="E572" s="20" t="s">
        <v>289</v>
      </c>
      <c r="F572" s="6">
        <f>F573</f>
        <v>143160</v>
      </c>
      <c r="G572" s="6">
        <f>G573</f>
        <v>143160</v>
      </c>
    </row>
    <row r="573" spans="1:7" ht="15.75" x14ac:dyDescent="0.25">
      <c r="A573" s="25" t="s">
        <v>290</v>
      </c>
      <c r="B573" s="20" t="s">
        <v>280</v>
      </c>
      <c r="C573" s="20" t="s">
        <v>229</v>
      </c>
      <c r="D573" s="20" t="s">
        <v>1049</v>
      </c>
      <c r="E573" s="20" t="s">
        <v>291</v>
      </c>
      <c r="F573" s="6">
        <f>'пр.5.1.ведом.21-22'!G640</f>
        <v>143160</v>
      </c>
      <c r="G573" s="6">
        <f>'пр.5.1.ведом.21-22'!H640</f>
        <v>143160</v>
      </c>
    </row>
    <row r="574" spans="1:7" ht="78.75" x14ac:dyDescent="0.25">
      <c r="A574" s="31" t="s">
        <v>305</v>
      </c>
      <c r="B574" s="20" t="s">
        <v>280</v>
      </c>
      <c r="C574" s="20" t="s">
        <v>229</v>
      </c>
      <c r="D574" s="20" t="s">
        <v>1020</v>
      </c>
      <c r="E574" s="20"/>
      <c r="F574" s="6">
        <f>F575</f>
        <v>1245.5999999999999</v>
      </c>
      <c r="G574" s="6">
        <f>G575</f>
        <v>1245.5999999999999</v>
      </c>
    </row>
    <row r="575" spans="1:7" ht="47.25" x14ac:dyDescent="0.25">
      <c r="A575" s="25" t="s">
        <v>288</v>
      </c>
      <c r="B575" s="20" t="s">
        <v>280</v>
      </c>
      <c r="C575" s="20" t="s">
        <v>229</v>
      </c>
      <c r="D575" s="20" t="s">
        <v>1020</v>
      </c>
      <c r="E575" s="20" t="s">
        <v>289</v>
      </c>
      <c r="F575" s="6">
        <f>F576</f>
        <v>1245.5999999999999</v>
      </c>
      <c r="G575" s="6">
        <f>G576</f>
        <v>1245.5999999999999</v>
      </c>
    </row>
    <row r="576" spans="1:7" ht="15.75" x14ac:dyDescent="0.25">
      <c r="A576" s="25" t="s">
        <v>290</v>
      </c>
      <c r="B576" s="20" t="s">
        <v>280</v>
      </c>
      <c r="C576" s="20" t="s">
        <v>229</v>
      </c>
      <c r="D576" s="20" t="s">
        <v>1020</v>
      </c>
      <c r="E576" s="20" t="s">
        <v>291</v>
      </c>
      <c r="F576" s="6">
        <f>'пр.5.1.ведом.21-22'!G643</f>
        <v>1245.5999999999999</v>
      </c>
      <c r="G576" s="6">
        <f>'пр.5.1.ведом.21-22'!H643</f>
        <v>1245.5999999999999</v>
      </c>
    </row>
    <row r="577" spans="1:7" ht="94.5" x14ac:dyDescent="0.25">
      <c r="A577" s="31" t="s">
        <v>307</v>
      </c>
      <c r="B577" s="20" t="s">
        <v>280</v>
      </c>
      <c r="C577" s="20" t="s">
        <v>229</v>
      </c>
      <c r="D577" s="20" t="s">
        <v>1023</v>
      </c>
      <c r="E577" s="20"/>
      <c r="F577" s="6">
        <f>F578</f>
        <v>2266.6999999999998</v>
      </c>
      <c r="G577" s="6">
        <f>G578</f>
        <v>2266.6999999999998</v>
      </c>
    </row>
    <row r="578" spans="1:7" ht="47.25" x14ac:dyDescent="0.25">
      <c r="A578" s="25" t="s">
        <v>288</v>
      </c>
      <c r="B578" s="20" t="s">
        <v>280</v>
      </c>
      <c r="C578" s="20" t="s">
        <v>229</v>
      </c>
      <c r="D578" s="20" t="s">
        <v>1023</v>
      </c>
      <c r="E578" s="20" t="s">
        <v>289</v>
      </c>
      <c r="F578" s="6">
        <f>F579</f>
        <v>2266.6999999999998</v>
      </c>
      <c r="G578" s="6">
        <f>G579</f>
        <v>2266.6999999999998</v>
      </c>
    </row>
    <row r="579" spans="1:7" ht="15.75" x14ac:dyDescent="0.25">
      <c r="A579" s="25" t="s">
        <v>290</v>
      </c>
      <c r="B579" s="20" t="s">
        <v>280</v>
      </c>
      <c r="C579" s="20" t="s">
        <v>229</v>
      </c>
      <c r="D579" s="20" t="s">
        <v>1023</v>
      </c>
      <c r="E579" s="20" t="s">
        <v>291</v>
      </c>
      <c r="F579" s="6">
        <f>'пр.5.1.ведом.21-22'!G646</f>
        <v>2266.6999999999998</v>
      </c>
      <c r="G579" s="6">
        <f>'пр.5.1.ведом.21-22'!H646</f>
        <v>2266.6999999999998</v>
      </c>
    </row>
    <row r="580" spans="1:7" ht="63" x14ac:dyDescent="0.25">
      <c r="A580" s="31" t="s">
        <v>478</v>
      </c>
      <c r="B580" s="20" t="s">
        <v>280</v>
      </c>
      <c r="C580" s="20" t="s">
        <v>229</v>
      </c>
      <c r="D580" s="20" t="s">
        <v>1050</v>
      </c>
      <c r="E580" s="20"/>
      <c r="F580" s="6">
        <f>F581</f>
        <v>923.4</v>
      </c>
      <c r="G580" s="6">
        <f>G581</f>
        <v>923.4</v>
      </c>
    </row>
    <row r="581" spans="1:7" ht="47.25" x14ac:dyDescent="0.25">
      <c r="A581" s="25" t="s">
        <v>288</v>
      </c>
      <c r="B581" s="20" t="s">
        <v>280</v>
      </c>
      <c r="C581" s="20" t="s">
        <v>229</v>
      </c>
      <c r="D581" s="20" t="s">
        <v>1050</v>
      </c>
      <c r="E581" s="20" t="s">
        <v>289</v>
      </c>
      <c r="F581" s="6">
        <f>F582</f>
        <v>923.4</v>
      </c>
      <c r="G581" s="6">
        <f>G582</f>
        <v>923.4</v>
      </c>
    </row>
    <row r="582" spans="1:7" ht="15.75" x14ac:dyDescent="0.25">
      <c r="A582" s="25" t="s">
        <v>290</v>
      </c>
      <c r="B582" s="20" t="s">
        <v>280</v>
      </c>
      <c r="C582" s="20" t="s">
        <v>229</v>
      </c>
      <c r="D582" s="20" t="s">
        <v>1050</v>
      </c>
      <c r="E582" s="20" t="s">
        <v>291</v>
      </c>
      <c r="F582" s="6">
        <f>'пр.5.1.ведом.21-22'!G649</f>
        <v>923.4</v>
      </c>
      <c r="G582" s="6">
        <f>'пр.5.1.ведом.21-22'!H649</f>
        <v>923.4</v>
      </c>
    </row>
    <row r="583" spans="1:7" ht="111.2" customHeight="1" x14ac:dyDescent="0.25">
      <c r="A583" s="31" t="s">
        <v>480</v>
      </c>
      <c r="B583" s="20" t="s">
        <v>280</v>
      </c>
      <c r="C583" s="20" t="s">
        <v>229</v>
      </c>
      <c r="D583" s="20" t="s">
        <v>1024</v>
      </c>
      <c r="E583" s="20"/>
      <c r="F583" s="6">
        <f>F584</f>
        <v>0</v>
      </c>
      <c r="G583" s="6">
        <f>G584</f>
        <v>0</v>
      </c>
    </row>
    <row r="584" spans="1:7" ht="47.25" x14ac:dyDescent="0.25">
      <c r="A584" s="25" t="s">
        <v>288</v>
      </c>
      <c r="B584" s="20" t="s">
        <v>280</v>
      </c>
      <c r="C584" s="20" t="s">
        <v>229</v>
      </c>
      <c r="D584" s="20" t="s">
        <v>1024</v>
      </c>
      <c r="E584" s="20" t="s">
        <v>289</v>
      </c>
      <c r="F584" s="6">
        <f>F585</f>
        <v>0</v>
      </c>
      <c r="G584" s="6">
        <f>G585</f>
        <v>0</v>
      </c>
    </row>
    <row r="585" spans="1:7" ht="15.75" x14ac:dyDescent="0.25">
      <c r="A585" s="25" t="s">
        <v>290</v>
      </c>
      <c r="B585" s="20" t="s">
        <v>280</v>
      </c>
      <c r="C585" s="20" t="s">
        <v>229</v>
      </c>
      <c r="D585" s="20" t="s">
        <v>1024</v>
      </c>
      <c r="E585" s="20" t="s">
        <v>291</v>
      </c>
      <c r="F585" s="6">
        <f>'пр.5.1.ведом.21-22'!G652</f>
        <v>0</v>
      </c>
      <c r="G585" s="6">
        <f>'пр.5.1.ведом.21-22'!H652</f>
        <v>0</v>
      </c>
    </row>
    <row r="586" spans="1:7" ht="47.25" x14ac:dyDescent="0.25">
      <c r="A586" s="272" t="s">
        <v>446</v>
      </c>
      <c r="B586" s="24" t="s">
        <v>280</v>
      </c>
      <c r="C586" s="24" t="s">
        <v>229</v>
      </c>
      <c r="D586" s="24" t="s">
        <v>447</v>
      </c>
      <c r="E586" s="24"/>
      <c r="F586" s="4">
        <f>F587+F600+F607+F614+F621</f>
        <v>8844.0999999999985</v>
      </c>
      <c r="G586" s="4">
        <f>G587+G600+G607+G614+G621</f>
        <v>8852.5999999999985</v>
      </c>
    </row>
    <row r="587" spans="1:7" ht="31.5" x14ac:dyDescent="0.25">
      <c r="A587" s="23" t="s">
        <v>1268</v>
      </c>
      <c r="B587" s="24" t="s">
        <v>280</v>
      </c>
      <c r="C587" s="24" t="s">
        <v>229</v>
      </c>
      <c r="D587" s="24" t="s">
        <v>1030</v>
      </c>
      <c r="E587" s="24"/>
      <c r="F587" s="4">
        <f>F588+F591+F594+F597</f>
        <v>224</v>
      </c>
      <c r="G587" s="4">
        <f>G588+G591+G594+G597</f>
        <v>224</v>
      </c>
    </row>
    <row r="588" spans="1:7" ht="47.25" hidden="1" x14ac:dyDescent="0.25">
      <c r="A588" s="25" t="s">
        <v>456</v>
      </c>
      <c r="B588" s="20" t="s">
        <v>280</v>
      </c>
      <c r="C588" s="20" t="s">
        <v>229</v>
      </c>
      <c r="D588" s="20" t="s">
        <v>1034</v>
      </c>
      <c r="E588" s="20"/>
      <c r="F588" s="6">
        <f>'Пр.3 Рд,пр, ЦС,ВР 20'!F612</f>
        <v>0</v>
      </c>
      <c r="G588" s="6">
        <f>'Пр.3 Рд,пр, ЦС,ВР 20'!G612</f>
        <v>0</v>
      </c>
    </row>
    <row r="589" spans="1:7" ht="47.25" hidden="1" x14ac:dyDescent="0.25">
      <c r="A589" s="25" t="s">
        <v>288</v>
      </c>
      <c r="B589" s="20" t="s">
        <v>280</v>
      </c>
      <c r="C589" s="20" t="s">
        <v>229</v>
      </c>
      <c r="D589" s="20" t="s">
        <v>1034</v>
      </c>
      <c r="E589" s="20" t="s">
        <v>289</v>
      </c>
      <c r="F589" s="6">
        <f>'Пр.3 Рд,пр, ЦС,ВР 20'!F613</f>
        <v>0</v>
      </c>
      <c r="G589" s="6">
        <f>'Пр.3 Рд,пр, ЦС,ВР 20'!G613</f>
        <v>0</v>
      </c>
    </row>
    <row r="590" spans="1:7" ht="15.75" hidden="1" x14ac:dyDescent="0.25">
      <c r="A590" s="25" t="s">
        <v>290</v>
      </c>
      <c r="B590" s="20" t="s">
        <v>280</v>
      </c>
      <c r="C590" s="20" t="s">
        <v>229</v>
      </c>
      <c r="D590" s="20" t="s">
        <v>1034</v>
      </c>
      <c r="E590" s="20" t="s">
        <v>291</v>
      </c>
      <c r="F590" s="6">
        <f>'Пр.3 Рд,пр, ЦС,ВР 20'!F614</f>
        <v>0</v>
      </c>
      <c r="G590" s="6">
        <f>'Пр.3 Рд,пр, ЦС,ВР 20'!G614</f>
        <v>0</v>
      </c>
    </row>
    <row r="591" spans="1:7" ht="47.25" hidden="1" x14ac:dyDescent="0.25">
      <c r="A591" s="25" t="s">
        <v>294</v>
      </c>
      <c r="B591" s="20" t="s">
        <v>280</v>
      </c>
      <c r="C591" s="20" t="s">
        <v>229</v>
      </c>
      <c r="D591" s="20" t="s">
        <v>1035</v>
      </c>
      <c r="E591" s="20"/>
      <c r="F591" s="6">
        <f>'Пр.3 Рд,пр, ЦС,ВР 20'!F615</f>
        <v>0</v>
      </c>
      <c r="G591" s="6">
        <f>'Пр.3 Рд,пр, ЦС,ВР 20'!G615</f>
        <v>0</v>
      </c>
    </row>
    <row r="592" spans="1:7" ht="47.25" hidden="1" x14ac:dyDescent="0.25">
      <c r="A592" s="25" t="s">
        <v>288</v>
      </c>
      <c r="B592" s="20" t="s">
        <v>280</v>
      </c>
      <c r="C592" s="20" t="s">
        <v>229</v>
      </c>
      <c r="D592" s="20" t="s">
        <v>1035</v>
      </c>
      <c r="E592" s="20" t="s">
        <v>289</v>
      </c>
      <c r="F592" s="6">
        <f>'Пр.3 Рд,пр, ЦС,ВР 20'!F616</f>
        <v>0</v>
      </c>
      <c r="G592" s="6">
        <f>'Пр.3 Рд,пр, ЦС,ВР 20'!G616</f>
        <v>0</v>
      </c>
    </row>
    <row r="593" spans="1:7" ht="15.75" hidden="1" x14ac:dyDescent="0.25">
      <c r="A593" s="25" t="s">
        <v>290</v>
      </c>
      <c r="B593" s="20" t="s">
        <v>280</v>
      </c>
      <c r="C593" s="20" t="s">
        <v>229</v>
      </c>
      <c r="D593" s="20" t="s">
        <v>1035</v>
      </c>
      <c r="E593" s="20" t="s">
        <v>291</v>
      </c>
      <c r="F593" s="6">
        <f>'Пр.3 Рд,пр, ЦС,ВР 20'!F617</f>
        <v>0</v>
      </c>
      <c r="G593" s="6">
        <f>'Пр.3 Рд,пр, ЦС,ВР 20'!G617</f>
        <v>0</v>
      </c>
    </row>
    <row r="594" spans="1:7" ht="31.5" hidden="1" x14ac:dyDescent="0.25">
      <c r="A594" s="25" t="s">
        <v>296</v>
      </c>
      <c r="B594" s="20" t="s">
        <v>280</v>
      </c>
      <c r="C594" s="20" t="s">
        <v>229</v>
      </c>
      <c r="D594" s="20" t="s">
        <v>1036</v>
      </c>
      <c r="E594" s="20"/>
      <c r="F594" s="6">
        <f>F595</f>
        <v>0</v>
      </c>
      <c r="G594" s="6">
        <f>G595</f>
        <v>0</v>
      </c>
    </row>
    <row r="595" spans="1:7" ht="47.25" hidden="1" x14ac:dyDescent="0.25">
      <c r="A595" s="25" t="s">
        <v>288</v>
      </c>
      <c r="B595" s="20" t="s">
        <v>280</v>
      </c>
      <c r="C595" s="20" t="s">
        <v>229</v>
      </c>
      <c r="D595" s="20" t="s">
        <v>1036</v>
      </c>
      <c r="E595" s="20" t="s">
        <v>289</v>
      </c>
      <c r="F595" s="6">
        <f>F596</f>
        <v>0</v>
      </c>
      <c r="G595" s="6">
        <f>G596</f>
        <v>0</v>
      </c>
    </row>
    <row r="596" spans="1:7" ht="15.75" hidden="1" x14ac:dyDescent="0.25">
      <c r="A596" s="25" t="s">
        <v>290</v>
      </c>
      <c r="B596" s="20" t="s">
        <v>280</v>
      </c>
      <c r="C596" s="20" t="s">
        <v>229</v>
      </c>
      <c r="D596" s="20" t="s">
        <v>1036</v>
      </c>
      <c r="E596" s="20" t="s">
        <v>291</v>
      </c>
      <c r="F596" s="6">
        <f>'пр.5.1.ведом.21-22'!G663</f>
        <v>0</v>
      </c>
      <c r="G596" s="6">
        <f>'пр.5.1.ведом.21-22'!H663</f>
        <v>0</v>
      </c>
    </row>
    <row r="597" spans="1:7" ht="47.25" x14ac:dyDescent="0.25">
      <c r="A597" s="25" t="s">
        <v>298</v>
      </c>
      <c r="B597" s="20" t="s">
        <v>280</v>
      </c>
      <c r="C597" s="20" t="s">
        <v>229</v>
      </c>
      <c r="D597" s="20" t="s">
        <v>1037</v>
      </c>
      <c r="E597" s="20"/>
      <c r="F597" s="6">
        <f>F598</f>
        <v>224</v>
      </c>
      <c r="G597" s="6">
        <f>G598</f>
        <v>224</v>
      </c>
    </row>
    <row r="598" spans="1:7" ht="47.25" x14ac:dyDescent="0.25">
      <c r="A598" s="25" t="s">
        <v>288</v>
      </c>
      <c r="B598" s="20" t="s">
        <v>280</v>
      </c>
      <c r="C598" s="20" t="s">
        <v>229</v>
      </c>
      <c r="D598" s="20" t="s">
        <v>1037</v>
      </c>
      <c r="E598" s="20" t="s">
        <v>289</v>
      </c>
      <c r="F598" s="6">
        <f>F599</f>
        <v>224</v>
      </c>
      <c r="G598" s="6">
        <f>G599</f>
        <v>224</v>
      </c>
    </row>
    <row r="599" spans="1:7" ht="15.75" x14ac:dyDescent="0.25">
      <c r="A599" s="25" t="s">
        <v>290</v>
      </c>
      <c r="B599" s="20" t="s">
        <v>280</v>
      </c>
      <c r="C599" s="20" t="s">
        <v>229</v>
      </c>
      <c r="D599" s="20" t="s">
        <v>1037</v>
      </c>
      <c r="E599" s="20" t="s">
        <v>291</v>
      </c>
      <c r="F599" s="6">
        <f>'пр.5.1.ведом.21-22'!G666</f>
        <v>224</v>
      </c>
      <c r="G599" s="6">
        <f>'пр.5.1.ведом.21-22'!H666</f>
        <v>224</v>
      </c>
    </row>
    <row r="600" spans="1:7" ht="47.25" x14ac:dyDescent="0.25">
      <c r="A600" s="23" t="s">
        <v>1031</v>
      </c>
      <c r="B600" s="24" t="s">
        <v>280</v>
      </c>
      <c r="C600" s="24" t="s">
        <v>229</v>
      </c>
      <c r="D600" s="24" t="s">
        <v>1032</v>
      </c>
      <c r="E600" s="24"/>
      <c r="F600" s="4">
        <f>F601+F604</f>
        <v>3943.4</v>
      </c>
      <c r="G600" s="4">
        <f>G601+G604</f>
        <v>3951.9</v>
      </c>
    </row>
    <row r="601" spans="1:7" ht="56.25" customHeight="1" x14ac:dyDescent="0.25">
      <c r="A601" s="29" t="s">
        <v>619</v>
      </c>
      <c r="B601" s="20" t="s">
        <v>280</v>
      </c>
      <c r="C601" s="20" t="s">
        <v>229</v>
      </c>
      <c r="D601" s="20" t="s">
        <v>1038</v>
      </c>
      <c r="E601" s="20"/>
      <c r="F601" s="6">
        <f>F602</f>
        <v>2200</v>
      </c>
      <c r="G601" s="6">
        <f>G602</f>
        <v>2200</v>
      </c>
    </row>
    <row r="602" spans="1:7" ht="47.25" x14ac:dyDescent="0.25">
      <c r="A602" s="25" t="s">
        <v>288</v>
      </c>
      <c r="B602" s="20" t="s">
        <v>280</v>
      </c>
      <c r="C602" s="20" t="s">
        <v>229</v>
      </c>
      <c r="D602" s="20" t="s">
        <v>1038</v>
      </c>
      <c r="E602" s="20" t="s">
        <v>289</v>
      </c>
      <c r="F602" s="6">
        <f>F603</f>
        <v>2200</v>
      </c>
      <c r="G602" s="6">
        <f>G603</f>
        <v>2200</v>
      </c>
    </row>
    <row r="603" spans="1:7" ht="15.75" x14ac:dyDescent="0.25">
      <c r="A603" s="25" t="s">
        <v>290</v>
      </c>
      <c r="B603" s="20" t="s">
        <v>280</v>
      </c>
      <c r="C603" s="20" t="s">
        <v>229</v>
      </c>
      <c r="D603" s="20" t="s">
        <v>1038</v>
      </c>
      <c r="E603" s="20" t="s">
        <v>291</v>
      </c>
      <c r="F603" s="6">
        <f>'пр.5.1.ведом.21-22'!G670</f>
        <v>2200</v>
      </c>
      <c r="G603" s="6">
        <f>'пр.5.1.ведом.21-22'!H670</f>
        <v>2200</v>
      </c>
    </row>
    <row r="604" spans="1:7" ht="31.5" x14ac:dyDescent="0.25">
      <c r="A604" s="25" t="s">
        <v>472</v>
      </c>
      <c r="B604" s="20" t="s">
        <v>280</v>
      </c>
      <c r="C604" s="20" t="s">
        <v>229</v>
      </c>
      <c r="D604" s="20" t="s">
        <v>1039</v>
      </c>
      <c r="E604" s="20"/>
      <c r="F604" s="6">
        <f>F605</f>
        <v>1743.4</v>
      </c>
      <c r="G604" s="6">
        <f>G605</f>
        <v>1751.9</v>
      </c>
    </row>
    <row r="605" spans="1:7" ht="47.25" x14ac:dyDescent="0.25">
      <c r="A605" s="25" t="s">
        <v>288</v>
      </c>
      <c r="B605" s="20" t="s">
        <v>280</v>
      </c>
      <c r="C605" s="20" t="s">
        <v>229</v>
      </c>
      <c r="D605" s="20" t="s">
        <v>1039</v>
      </c>
      <c r="E605" s="20" t="s">
        <v>289</v>
      </c>
      <c r="F605" s="6">
        <f>F606</f>
        <v>1743.4</v>
      </c>
      <c r="G605" s="6">
        <f>G606</f>
        <v>1751.9</v>
      </c>
    </row>
    <row r="606" spans="1:7" ht="15.75" x14ac:dyDescent="0.25">
      <c r="A606" s="25" t="s">
        <v>290</v>
      </c>
      <c r="B606" s="20" t="s">
        <v>280</v>
      </c>
      <c r="C606" s="20" t="s">
        <v>229</v>
      </c>
      <c r="D606" s="20" t="s">
        <v>1039</v>
      </c>
      <c r="E606" s="20" t="s">
        <v>291</v>
      </c>
      <c r="F606" s="6">
        <f>'пр.5.1.ведом.21-22'!G673</f>
        <v>1743.4</v>
      </c>
      <c r="G606" s="6">
        <f>'пр.5.1.ведом.21-22'!H673</f>
        <v>1751.9</v>
      </c>
    </row>
    <row r="607" spans="1:7" ht="31.5" x14ac:dyDescent="0.25">
      <c r="A607" s="23" t="s">
        <v>1033</v>
      </c>
      <c r="B607" s="24" t="s">
        <v>280</v>
      </c>
      <c r="C607" s="24" t="s">
        <v>229</v>
      </c>
      <c r="D607" s="24" t="s">
        <v>1040</v>
      </c>
      <c r="E607" s="24"/>
      <c r="F607" s="4">
        <f>F608+F611</f>
        <v>1364.7</v>
      </c>
      <c r="G607" s="4">
        <f>G608+G611</f>
        <v>1364.7</v>
      </c>
    </row>
    <row r="608" spans="1:7" ht="63" x14ac:dyDescent="0.25">
      <c r="A608" s="25" t="s">
        <v>454</v>
      </c>
      <c r="B608" s="20" t="s">
        <v>280</v>
      </c>
      <c r="C608" s="20" t="s">
        <v>229</v>
      </c>
      <c r="D608" s="20" t="s">
        <v>1041</v>
      </c>
      <c r="E608" s="20"/>
      <c r="F608" s="6">
        <f>F609</f>
        <v>868</v>
      </c>
      <c r="G608" s="6">
        <f>G609</f>
        <v>868</v>
      </c>
    </row>
    <row r="609" spans="1:7" ht="47.25" x14ac:dyDescent="0.25">
      <c r="A609" s="25" t="s">
        <v>288</v>
      </c>
      <c r="B609" s="20" t="s">
        <v>280</v>
      </c>
      <c r="C609" s="20" t="s">
        <v>229</v>
      </c>
      <c r="D609" s="20" t="s">
        <v>1041</v>
      </c>
      <c r="E609" s="20" t="s">
        <v>289</v>
      </c>
      <c r="F609" s="6">
        <f>F610</f>
        <v>868</v>
      </c>
      <c r="G609" s="6">
        <f>G610</f>
        <v>868</v>
      </c>
    </row>
    <row r="610" spans="1:7" ht="15.75" x14ac:dyDescent="0.25">
      <c r="A610" s="25" t="s">
        <v>290</v>
      </c>
      <c r="B610" s="20" t="s">
        <v>280</v>
      </c>
      <c r="C610" s="20" t="s">
        <v>229</v>
      </c>
      <c r="D610" s="20" t="s">
        <v>1041</v>
      </c>
      <c r="E610" s="20" t="s">
        <v>291</v>
      </c>
      <c r="F610" s="6">
        <f>'пр.5.1.ведом.21-22'!G677</f>
        <v>868</v>
      </c>
      <c r="G610" s="6">
        <f>'пр.5.1.ведом.21-22'!H677</f>
        <v>868</v>
      </c>
    </row>
    <row r="611" spans="1:7" ht="47.25" x14ac:dyDescent="0.25">
      <c r="A611" s="25" t="s">
        <v>474</v>
      </c>
      <c r="B611" s="20" t="s">
        <v>280</v>
      </c>
      <c r="C611" s="20" t="s">
        <v>229</v>
      </c>
      <c r="D611" s="20" t="s">
        <v>1042</v>
      </c>
      <c r="E611" s="20"/>
      <c r="F611" s="6">
        <f>F612</f>
        <v>496.7</v>
      </c>
      <c r="G611" s="6">
        <f>G612</f>
        <v>496.7</v>
      </c>
    </row>
    <row r="612" spans="1:7" ht="47.25" x14ac:dyDescent="0.25">
      <c r="A612" s="273" t="s">
        <v>288</v>
      </c>
      <c r="B612" s="20" t="s">
        <v>280</v>
      </c>
      <c r="C612" s="20" t="s">
        <v>229</v>
      </c>
      <c r="D612" s="20" t="s">
        <v>1042</v>
      </c>
      <c r="E612" s="20" t="s">
        <v>289</v>
      </c>
      <c r="F612" s="6">
        <f>F613</f>
        <v>496.7</v>
      </c>
      <c r="G612" s="6">
        <f>G613</f>
        <v>496.7</v>
      </c>
    </row>
    <row r="613" spans="1:7" ht="15.75" x14ac:dyDescent="0.25">
      <c r="A613" s="25" t="s">
        <v>290</v>
      </c>
      <c r="B613" s="20" t="s">
        <v>280</v>
      </c>
      <c r="C613" s="20" t="s">
        <v>229</v>
      </c>
      <c r="D613" s="20" t="s">
        <v>1042</v>
      </c>
      <c r="E613" s="20" t="s">
        <v>291</v>
      </c>
      <c r="F613" s="6">
        <f>'пр.5.1.ведом.21-22'!G680</f>
        <v>496.7</v>
      </c>
      <c r="G613" s="6">
        <f>'пр.5.1.ведом.21-22'!H680</f>
        <v>496.7</v>
      </c>
    </row>
    <row r="614" spans="1:7" ht="47.25" x14ac:dyDescent="0.25">
      <c r="A614" s="231" t="s">
        <v>1077</v>
      </c>
      <c r="B614" s="24" t="s">
        <v>280</v>
      </c>
      <c r="C614" s="24" t="s">
        <v>229</v>
      </c>
      <c r="D614" s="24" t="s">
        <v>1043</v>
      </c>
      <c r="E614" s="24"/>
      <c r="F614" s="4">
        <f>F615+F618</f>
        <v>2634</v>
      </c>
      <c r="G614" s="4">
        <f>G615+G618</f>
        <v>2634</v>
      </c>
    </row>
    <row r="615" spans="1:7" ht="31.5" hidden="1" x14ac:dyDescent="0.25">
      <c r="A615" s="25" t="s">
        <v>300</v>
      </c>
      <c r="B615" s="20" t="s">
        <v>280</v>
      </c>
      <c r="C615" s="20" t="s">
        <v>229</v>
      </c>
      <c r="D615" s="20" t="s">
        <v>1045</v>
      </c>
      <c r="E615" s="20"/>
      <c r="F615" s="6">
        <f>'Пр.3 Рд,пр, ЦС,ВР 20'!F639</f>
        <v>0</v>
      </c>
      <c r="G615" s="6">
        <f>'Пр.3 Рд,пр, ЦС,ВР 20'!G639</f>
        <v>0</v>
      </c>
    </row>
    <row r="616" spans="1:7" ht="47.25" hidden="1" x14ac:dyDescent="0.25">
      <c r="A616" s="25" t="s">
        <v>288</v>
      </c>
      <c r="B616" s="20" t="s">
        <v>280</v>
      </c>
      <c r="C616" s="20" t="s">
        <v>229</v>
      </c>
      <c r="D616" s="20" t="s">
        <v>1045</v>
      </c>
      <c r="E616" s="20" t="s">
        <v>289</v>
      </c>
      <c r="F616" s="6">
        <f>'Пр.3 Рд,пр, ЦС,ВР 20'!F640</f>
        <v>0</v>
      </c>
      <c r="G616" s="6">
        <f>'Пр.3 Рд,пр, ЦС,ВР 20'!G640</f>
        <v>0</v>
      </c>
    </row>
    <row r="617" spans="1:7" ht="15.75" hidden="1" x14ac:dyDescent="0.25">
      <c r="A617" s="25" t="s">
        <v>290</v>
      </c>
      <c r="B617" s="20" t="s">
        <v>280</v>
      </c>
      <c r="C617" s="20" t="s">
        <v>229</v>
      </c>
      <c r="D617" s="20" t="s">
        <v>1045</v>
      </c>
      <c r="E617" s="20" t="s">
        <v>291</v>
      </c>
      <c r="F617" s="6">
        <f>'Пр.3 Рд,пр, ЦС,ВР 20'!F641</f>
        <v>0</v>
      </c>
      <c r="G617" s="6">
        <f>'Пр.3 Рд,пр, ЦС,ВР 20'!G641</f>
        <v>0</v>
      </c>
    </row>
    <row r="618" spans="1:7" ht="47.25" x14ac:dyDescent="0.25">
      <c r="A618" s="60" t="s">
        <v>787</v>
      </c>
      <c r="B618" s="20" t="s">
        <v>280</v>
      </c>
      <c r="C618" s="20" t="s">
        <v>229</v>
      </c>
      <c r="D618" s="20" t="s">
        <v>1046</v>
      </c>
      <c r="E618" s="20"/>
      <c r="F618" s="6">
        <f>F619</f>
        <v>2634</v>
      </c>
      <c r="G618" s="6">
        <f>G619</f>
        <v>2634</v>
      </c>
    </row>
    <row r="619" spans="1:7" ht="47.25" x14ac:dyDescent="0.25">
      <c r="A619" s="29" t="s">
        <v>288</v>
      </c>
      <c r="B619" s="20" t="s">
        <v>280</v>
      </c>
      <c r="C619" s="20" t="s">
        <v>229</v>
      </c>
      <c r="D619" s="20" t="s">
        <v>1046</v>
      </c>
      <c r="E619" s="20" t="s">
        <v>289</v>
      </c>
      <c r="F619" s="6">
        <f>F620</f>
        <v>2634</v>
      </c>
      <c r="G619" s="6">
        <f>G620</f>
        <v>2634</v>
      </c>
    </row>
    <row r="620" spans="1:7" ht="15.75" x14ac:dyDescent="0.25">
      <c r="A620" s="192" t="s">
        <v>290</v>
      </c>
      <c r="B620" s="20" t="s">
        <v>280</v>
      </c>
      <c r="C620" s="20" t="s">
        <v>229</v>
      </c>
      <c r="D620" s="20" t="s">
        <v>1046</v>
      </c>
      <c r="E620" s="20" t="s">
        <v>291</v>
      </c>
      <c r="F620" s="6">
        <f>'пр.5.1.ведом.21-22'!G687</f>
        <v>2634</v>
      </c>
      <c r="G620" s="6">
        <f>'пр.5.1.ведом.21-22'!H687</f>
        <v>2634</v>
      </c>
    </row>
    <row r="621" spans="1:7" ht="47.25" x14ac:dyDescent="0.25">
      <c r="A621" s="229" t="s">
        <v>1048</v>
      </c>
      <c r="B621" s="24" t="s">
        <v>280</v>
      </c>
      <c r="C621" s="24" t="s">
        <v>229</v>
      </c>
      <c r="D621" s="24" t="s">
        <v>1044</v>
      </c>
      <c r="E621" s="24"/>
      <c r="F621" s="4">
        <f t="shared" ref="F621:G621" si="37">F622</f>
        <v>678</v>
      </c>
      <c r="G621" s="4">
        <f t="shared" si="37"/>
        <v>678</v>
      </c>
    </row>
    <row r="622" spans="1:7" ht="63" x14ac:dyDescent="0.25">
      <c r="A622" s="192" t="s">
        <v>874</v>
      </c>
      <c r="B622" s="20" t="s">
        <v>280</v>
      </c>
      <c r="C622" s="20" t="s">
        <v>229</v>
      </c>
      <c r="D622" s="20" t="s">
        <v>1047</v>
      </c>
      <c r="E622" s="20"/>
      <c r="F622" s="6">
        <f>F623</f>
        <v>678</v>
      </c>
      <c r="G622" s="6">
        <f>G623</f>
        <v>678</v>
      </c>
    </row>
    <row r="623" spans="1:7" ht="47.25" x14ac:dyDescent="0.25">
      <c r="A623" s="31" t="s">
        <v>288</v>
      </c>
      <c r="B623" s="20" t="s">
        <v>280</v>
      </c>
      <c r="C623" s="20" t="s">
        <v>229</v>
      </c>
      <c r="D623" s="20" t="s">
        <v>1047</v>
      </c>
      <c r="E623" s="20" t="s">
        <v>289</v>
      </c>
      <c r="F623" s="6">
        <f>F624</f>
        <v>678</v>
      </c>
      <c r="G623" s="6">
        <f>G624</f>
        <v>678</v>
      </c>
    </row>
    <row r="624" spans="1:7" ht="15.75" x14ac:dyDescent="0.25">
      <c r="A624" s="31" t="s">
        <v>290</v>
      </c>
      <c r="B624" s="20" t="s">
        <v>280</v>
      </c>
      <c r="C624" s="20" t="s">
        <v>229</v>
      </c>
      <c r="D624" s="20" t="s">
        <v>1047</v>
      </c>
      <c r="E624" s="20" t="s">
        <v>291</v>
      </c>
      <c r="F624" s="6">
        <f>'пр.5.1.ведом.21-22'!G691</f>
        <v>678</v>
      </c>
      <c r="G624" s="6">
        <f>'пр.5.1.ведом.21-22'!H691</f>
        <v>678</v>
      </c>
    </row>
    <row r="625" spans="1:7" ht="78.75" hidden="1" x14ac:dyDescent="0.25">
      <c r="A625" s="34" t="s">
        <v>805</v>
      </c>
      <c r="B625" s="24" t="s">
        <v>280</v>
      </c>
      <c r="C625" s="24" t="s">
        <v>229</v>
      </c>
      <c r="D625" s="24" t="s">
        <v>340</v>
      </c>
      <c r="E625" s="24"/>
      <c r="F625" s="4">
        <f t="shared" ref="F625:G625" si="38">F626</f>
        <v>0</v>
      </c>
      <c r="G625" s="4">
        <f t="shared" si="38"/>
        <v>0</v>
      </c>
    </row>
    <row r="626" spans="1:7" ht="63" hidden="1" x14ac:dyDescent="0.25">
      <c r="A626" s="34" t="s">
        <v>1190</v>
      </c>
      <c r="B626" s="24" t="s">
        <v>280</v>
      </c>
      <c r="C626" s="24" t="s">
        <v>229</v>
      </c>
      <c r="D626" s="24" t="s">
        <v>1025</v>
      </c>
      <c r="E626" s="24"/>
      <c r="F626" s="4">
        <f t="shared" ref="F626:G628" si="39">F627</f>
        <v>0</v>
      </c>
      <c r="G626" s="4">
        <f t="shared" si="39"/>
        <v>0</v>
      </c>
    </row>
    <row r="627" spans="1:7" ht="63" hidden="1" x14ac:dyDescent="0.25">
      <c r="A627" s="31" t="s">
        <v>1161</v>
      </c>
      <c r="B627" s="20" t="s">
        <v>280</v>
      </c>
      <c r="C627" s="20" t="s">
        <v>229</v>
      </c>
      <c r="D627" s="20" t="s">
        <v>1026</v>
      </c>
      <c r="E627" s="20"/>
      <c r="F627" s="6">
        <f t="shared" si="39"/>
        <v>0</v>
      </c>
      <c r="G627" s="6">
        <f t="shared" si="39"/>
        <v>0</v>
      </c>
    </row>
    <row r="628" spans="1:7" ht="47.25" hidden="1" x14ac:dyDescent="0.25">
      <c r="A628" s="31" t="s">
        <v>288</v>
      </c>
      <c r="B628" s="20" t="s">
        <v>280</v>
      </c>
      <c r="C628" s="20" t="s">
        <v>229</v>
      </c>
      <c r="D628" s="20" t="s">
        <v>1026</v>
      </c>
      <c r="E628" s="20" t="s">
        <v>289</v>
      </c>
      <c r="F628" s="6">
        <f t="shared" si="39"/>
        <v>0</v>
      </c>
      <c r="G628" s="6">
        <f t="shared" si="39"/>
        <v>0</v>
      </c>
    </row>
    <row r="629" spans="1:7" ht="15.75" hidden="1" x14ac:dyDescent="0.25">
      <c r="A629" s="31" t="s">
        <v>290</v>
      </c>
      <c r="B629" s="20" t="s">
        <v>280</v>
      </c>
      <c r="C629" s="20" t="s">
        <v>229</v>
      </c>
      <c r="D629" s="20" t="s">
        <v>1026</v>
      </c>
      <c r="E629" s="20" t="s">
        <v>291</v>
      </c>
      <c r="F629" s="6">
        <f>'пр.5.1.ведом.21-22'!G696</f>
        <v>0</v>
      </c>
      <c r="G629" s="6">
        <f>'пр.5.1.ведом.21-22'!H696</f>
        <v>0</v>
      </c>
    </row>
    <row r="630" spans="1:7" ht="78.75" x14ac:dyDescent="0.25">
      <c r="A630" s="41" t="s">
        <v>1425</v>
      </c>
      <c r="B630" s="24" t="s">
        <v>280</v>
      </c>
      <c r="C630" s="24" t="s">
        <v>229</v>
      </c>
      <c r="D630" s="24" t="s">
        <v>728</v>
      </c>
      <c r="E630" s="235"/>
      <c r="F630" s="4">
        <f t="shared" ref="F630:G631" si="40">F631</f>
        <v>723.3</v>
      </c>
      <c r="G630" s="4">
        <f t="shared" si="40"/>
        <v>723.3</v>
      </c>
    </row>
    <row r="631" spans="1:7" ht="63" x14ac:dyDescent="0.25">
      <c r="A631" s="41" t="s">
        <v>949</v>
      </c>
      <c r="B631" s="24" t="s">
        <v>280</v>
      </c>
      <c r="C631" s="24" t="s">
        <v>229</v>
      </c>
      <c r="D631" s="24" t="s">
        <v>947</v>
      </c>
      <c r="E631" s="235"/>
      <c r="F631" s="4">
        <f t="shared" si="40"/>
        <v>723.3</v>
      </c>
      <c r="G631" s="4">
        <f t="shared" si="40"/>
        <v>723.3</v>
      </c>
    </row>
    <row r="632" spans="1:7" ht="47.25" x14ac:dyDescent="0.25">
      <c r="A632" s="99" t="s">
        <v>803</v>
      </c>
      <c r="B632" s="20" t="s">
        <v>280</v>
      </c>
      <c r="C632" s="20" t="s">
        <v>229</v>
      </c>
      <c r="D632" s="20" t="s">
        <v>1027</v>
      </c>
      <c r="E632" s="32"/>
      <c r="F632" s="6">
        <f>F633</f>
        <v>723.3</v>
      </c>
      <c r="G632" s="6">
        <f>G633</f>
        <v>723.3</v>
      </c>
    </row>
    <row r="633" spans="1:7" ht="47.25" x14ac:dyDescent="0.25">
      <c r="A633" s="29" t="s">
        <v>288</v>
      </c>
      <c r="B633" s="20" t="s">
        <v>280</v>
      </c>
      <c r="C633" s="20" t="s">
        <v>229</v>
      </c>
      <c r="D633" s="20" t="s">
        <v>1027</v>
      </c>
      <c r="E633" s="32" t="s">
        <v>289</v>
      </c>
      <c r="F633" s="6">
        <f>F634</f>
        <v>723.3</v>
      </c>
      <c r="G633" s="6">
        <f>G634</f>
        <v>723.3</v>
      </c>
    </row>
    <row r="634" spans="1:7" ht="15.75" x14ac:dyDescent="0.25">
      <c r="A634" s="192" t="s">
        <v>290</v>
      </c>
      <c r="B634" s="20" t="s">
        <v>280</v>
      </c>
      <c r="C634" s="20" t="s">
        <v>229</v>
      </c>
      <c r="D634" s="20" t="s">
        <v>1027</v>
      </c>
      <c r="E634" s="32" t="s">
        <v>291</v>
      </c>
      <c r="F634" s="6">
        <f>'пр.5.1.ведом.21-22'!G701</f>
        <v>723.3</v>
      </c>
      <c r="G634" s="6">
        <f>'пр.5.1.ведом.21-22'!H701</f>
        <v>723.3</v>
      </c>
    </row>
    <row r="635" spans="1:7" ht="15.75" x14ac:dyDescent="0.25">
      <c r="A635" s="41" t="s">
        <v>281</v>
      </c>
      <c r="B635" s="7" t="s">
        <v>280</v>
      </c>
      <c r="C635" s="7" t="s">
        <v>231</v>
      </c>
      <c r="D635" s="24"/>
      <c r="E635" s="7"/>
      <c r="F635" s="4">
        <f>F636+F664+F701</f>
        <v>52091.599999999991</v>
      </c>
      <c r="G635" s="4">
        <f>G636+G664+G701</f>
        <v>52091.599999999991</v>
      </c>
    </row>
    <row r="636" spans="1:7" ht="47.25" x14ac:dyDescent="0.25">
      <c r="A636" s="23" t="s">
        <v>1431</v>
      </c>
      <c r="B636" s="24" t="s">
        <v>280</v>
      </c>
      <c r="C636" s="24" t="s">
        <v>231</v>
      </c>
      <c r="D636" s="24" t="s">
        <v>422</v>
      </c>
      <c r="E636" s="24"/>
      <c r="F636" s="4">
        <f>F637+F655</f>
        <v>34926.199999999997</v>
      </c>
      <c r="G636" s="4">
        <f>G637+G655</f>
        <v>34926.199999999997</v>
      </c>
    </row>
    <row r="637" spans="1:7" ht="47.25" x14ac:dyDescent="0.25">
      <c r="A637" s="23" t="s">
        <v>423</v>
      </c>
      <c r="B637" s="24" t="s">
        <v>280</v>
      </c>
      <c r="C637" s="24" t="s">
        <v>231</v>
      </c>
      <c r="D637" s="24" t="s">
        <v>424</v>
      </c>
      <c r="E637" s="24"/>
      <c r="F637" s="4">
        <f>F638+F642</f>
        <v>34237.199999999997</v>
      </c>
      <c r="G637" s="4">
        <f>G638+G642</f>
        <v>34237.199999999997</v>
      </c>
    </row>
    <row r="638" spans="1:7" ht="47.25" x14ac:dyDescent="0.25">
      <c r="A638" s="23" t="s">
        <v>1028</v>
      </c>
      <c r="B638" s="24" t="s">
        <v>280</v>
      </c>
      <c r="C638" s="24" t="s">
        <v>231</v>
      </c>
      <c r="D638" s="24" t="s">
        <v>1006</v>
      </c>
      <c r="E638" s="24"/>
      <c r="F638" s="4">
        <f t="shared" ref="F638:G638" si="41">F639</f>
        <v>32615</v>
      </c>
      <c r="G638" s="4">
        <f t="shared" si="41"/>
        <v>32615</v>
      </c>
    </row>
    <row r="639" spans="1:7" ht="47.25" x14ac:dyDescent="0.25">
      <c r="A639" s="25" t="s">
        <v>286</v>
      </c>
      <c r="B639" s="20" t="s">
        <v>280</v>
      </c>
      <c r="C639" s="20" t="s">
        <v>231</v>
      </c>
      <c r="D639" s="20" t="s">
        <v>1051</v>
      </c>
      <c r="E639" s="20"/>
      <c r="F639" s="6">
        <f>F640</f>
        <v>32615</v>
      </c>
      <c r="G639" s="6">
        <f>G640</f>
        <v>32615</v>
      </c>
    </row>
    <row r="640" spans="1:7" ht="47.25" x14ac:dyDescent="0.25">
      <c r="A640" s="25" t="s">
        <v>288</v>
      </c>
      <c r="B640" s="20" t="s">
        <v>280</v>
      </c>
      <c r="C640" s="20" t="s">
        <v>231</v>
      </c>
      <c r="D640" s="20" t="s">
        <v>1051</v>
      </c>
      <c r="E640" s="20" t="s">
        <v>289</v>
      </c>
      <c r="F640" s="6">
        <f>F641</f>
        <v>32615</v>
      </c>
      <c r="G640" s="6">
        <f>G641</f>
        <v>32615</v>
      </c>
    </row>
    <row r="641" spans="1:7" ht="15.75" x14ac:dyDescent="0.25">
      <c r="A641" s="25" t="s">
        <v>290</v>
      </c>
      <c r="B641" s="20" t="s">
        <v>280</v>
      </c>
      <c r="C641" s="20" t="s">
        <v>231</v>
      </c>
      <c r="D641" s="20" t="s">
        <v>1051</v>
      </c>
      <c r="E641" s="20" t="s">
        <v>291</v>
      </c>
      <c r="F641" s="6">
        <f>'пр.5.1.ведом.21-22'!G708</f>
        <v>32615</v>
      </c>
      <c r="G641" s="6">
        <f>'пр.5.1.ведом.21-22'!H708</f>
        <v>32615</v>
      </c>
    </row>
    <row r="642" spans="1:7" ht="63" x14ac:dyDescent="0.25">
      <c r="A642" s="23" t="s">
        <v>971</v>
      </c>
      <c r="B642" s="24" t="s">
        <v>280</v>
      </c>
      <c r="C642" s="24" t="s">
        <v>231</v>
      </c>
      <c r="D642" s="24" t="s">
        <v>1021</v>
      </c>
      <c r="E642" s="24"/>
      <c r="F642" s="4">
        <f>F646+F649+F652+F643</f>
        <v>1622.1999999999998</v>
      </c>
      <c r="G642" s="4">
        <f>G646+G649+G652+G643</f>
        <v>1622.1999999999998</v>
      </c>
    </row>
    <row r="643" spans="1:7" s="331" customFormat="1" ht="126" x14ac:dyDescent="0.25">
      <c r="A643" s="31" t="s">
        <v>309</v>
      </c>
      <c r="B643" s="338" t="s">
        <v>280</v>
      </c>
      <c r="C643" s="338" t="s">
        <v>231</v>
      </c>
      <c r="D643" s="338" t="s">
        <v>1519</v>
      </c>
      <c r="E643" s="338"/>
      <c r="F643" s="6">
        <f>F644</f>
        <v>903.4</v>
      </c>
      <c r="G643" s="6">
        <f>G644</f>
        <v>903.4</v>
      </c>
    </row>
    <row r="644" spans="1:7" s="331" customFormat="1" ht="47.25" x14ac:dyDescent="0.25">
      <c r="A644" s="342" t="s">
        <v>288</v>
      </c>
      <c r="B644" s="338" t="s">
        <v>280</v>
      </c>
      <c r="C644" s="338" t="s">
        <v>231</v>
      </c>
      <c r="D644" s="338" t="s">
        <v>1519</v>
      </c>
      <c r="E644" s="338" t="s">
        <v>289</v>
      </c>
      <c r="F644" s="6">
        <f>F645</f>
        <v>903.4</v>
      </c>
      <c r="G644" s="6">
        <f>G645</f>
        <v>903.4</v>
      </c>
    </row>
    <row r="645" spans="1:7" s="331" customFormat="1" ht="15.75" x14ac:dyDescent="0.25">
      <c r="A645" s="342" t="s">
        <v>290</v>
      </c>
      <c r="B645" s="338" t="s">
        <v>280</v>
      </c>
      <c r="C645" s="338" t="s">
        <v>231</v>
      </c>
      <c r="D645" s="338" t="s">
        <v>1519</v>
      </c>
      <c r="E645" s="338" t="s">
        <v>291</v>
      </c>
      <c r="F645" s="6">
        <f>'пр.5.1.ведом.21-22'!G712</f>
        <v>903.4</v>
      </c>
      <c r="G645" s="6">
        <f>'пр.5.1.ведом.21-22'!H712</f>
        <v>903.4</v>
      </c>
    </row>
    <row r="646" spans="1:7" ht="78.75" x14ac:dyDescent="0.25">
      <c r="A646" s="31" t="s">
        <v>305</v>
      </c>
      <c r="B646" s="20" t="s">
        <v>280</v>
      </c>
      <c r="C646" s="20" t="s">
        <v>231</v>
      </c>
      <c r="D646" s="20" t="s">
        <v>1020</v>
      </c>
      <c r="E646" s="20"/>
      <c r="F646" s="6">
        <f>F647</f>
        <v>169.3</v>
      </c>
      <c r="G646" s="6">
        <f>G647</f>
        <v>169.3</v>
      </c>
    </row>
    <row r="647" spans="1:7" ht="47.25" x14ac:dyDescent="0.25">
      <c r="A647" s="25" t="s">
        <v>288</v>
      </c>
      <c r="B647" s="20" t="s">
        <v>280</v>
      </c>
      <c r="C647" s="20" t="s">
        <v>231</v>
      </c>
      <c r="D647" s="20" t="s">
        <v>1020</v>
      </c>
      <c r="E647" s="20" t="s">
        <v>289</v>
      </c>
      <c r="F647" s="6">
        <f>F648</f>
        <v>169.3</v>
      </c>
      <c r="G647" s="6">
        <f>G648</f>
        <v>169.3</v>
      </c>
    </row>
    <row r="648" spans="1:7" ht="15.75" x14ac:dyDescent="0.25">
      <c r="A648" s="25" t="s">
        <v>290</v>
      </c>
      <c r="B648" s="20" t="s">
        <v>280</v>
      </c>
      <c r="C648" s="20" t="s">
        <v>231</v>
      </c>
      <c r="D648" s="20" t="s">
        <v>1020</v>
      </c>
      <c r="E648" s="20" t="s">
        <v>291</v>
      </c>
      <c r="F648" s="6">
        <f>'пр.5.1.ведом.21-22'!G715</f>
        <v>169.3</v>
      </c>
      <c r="G648" s="6">
        <f>'пр.5.1.ведом.21-22'!H715</f>
        <v>169.3</v>
      </c>
    </row>
    <row r="649" spans="1:7" ht="94.5" x14ac:dyDescent="0.25">
      <c r="A649" s="31" t="s">
        <v>307</v>
      </c>
      <c r="B649" s="20" t="s">
        <v>280</v>
      </c>
      <c r="C649" s="20" t="s">
        <v>231</v>
      </c>
      <c r="D649" s="20" t="s">
        <v>1023</v>
      </c>
      <c r="E649" s="20"/>
      <c r="F649" s="6">
        <f>F650</f>
        <v>549.5</v>
      </c>
      <c r="G649" s="6">
        <f>G650</f>
        <v>549.5</v>
      </c>
    </row>
    <row r="650" spans="1:7" ht="47.25" x14ac:dyDescent="0.25">
      <c r="A650" s="25" t="s">
        <v>288</v>
      </c>
      <c r="B650" s="20" t="s">
        <v>280</v>
      </c>
      <c r="C650" s="20" t="s">
        <v>231</v>
      </c>
      <c r="D650" s="20" t="s">
        <v>1023</v>
      </c>
      <c r="E650" s="20" t="s">
        <v>289</v>
      </c>
      <c r="F650" s="6">
        <f>F651</f>
        <v>549.5</v>
      </c>
      <c r="G650" s="6">
        <f>G651</f>
        <v>549.5</v>
      </c>
    </row>
    <row r="651" spans="1:7" ht="15.75" x14ac:dyDescent="0.25">
      <c r="A651" s="25" t="s">
        <v>290</v>
      </c>
      <c r="B651" s="20" t="s">
        <v>280</v>
      </c>
      <c r="C651" s="20" t="s">
        <v>231</v>
      </c>
      <c r="D651" s="20" t="s">
        <v>1023</v>
      </c>
      <c r="E651" s="20" t="s">
        <v>291</v>
      </c>
      <c r="F651" s="6">
        <f>'пр.5.1.ведом.21-22'!G718</f>
        <v>549.5</v>
      </c>
      <c r="G651" s="6">
        <f>'пр.5.1.ведом.21-22'!H718</f>
        <v>549.5</v>
      </c>
    </row>
    <row r="652" spans="1:7" ht="117.75" customHeight="1" x14ac:dyDescent="0.25">
      <c r="A652" s="31" t="s">
        <v>309</v>
      </c>
      <c r="B652" s="20" t="s">
        <v>280</v>
      </c>
      <c r="C652" s="20" t="s">
        <v>231</v>
      </c>
      <c r="D652" s="20" t="s">
        <v>1024</v>
      </c>
      <c r="E652" s="20"/>
      <c r="F652" s="6">
        <f>F653</f>
        <v>0</v>
      </c>
      <c r="G652" s="6">
        <f>G653</f>
        <v>0</v>
      </c>
    </row>
    <row r="653" spans="1:7" ht="47.25" x14ac:dyDescent="0.25">
      <c r="A653" s="25" t="s">
        <v>288</v>
      </c>
      <c r="B653" s="20" t="s">
        <v>280</v>
      </c>
      <c r="C653" s="20" t="s">
        <v>231</v>
      </c>
      <c r="D653" s="20" t="s">
        <v>1024</v>
      </c>
      <c r="E653" s="20" t="s">
        <v>289</v>
      </c>
      <c r="F653" s="6">
        <f>F654</f>
        <v>0</v>
      </c>
      <c r="G653" s="6">
        <f>G654</f>
        <v>0</v>
      </c>
    </row>
    <row r="654" spans="1:7" ht="15.75" x14ac:dyDescent="0.25">
      <c r="A654" s="25" t="s">
        <v>290</v>
      </c>
      <c r="B654" s="20" t="s">
        <v>280</v>
      </c>
      <c r="C654" s="20" t="s">
        <v>231</v>
      </c>
      <c r="D654" s="20" t="s">
        <v>1024</v>
      </c>
      <c r="E654" s="20" t="s">
        <v>291</v>
      </c>
      <c r="F654" s="6">
        <f>'пр.5.1.ведом.21-22'!G721</f>
        <v>0</v>
      </c>
      <c r="G654" s="6">
        <f>'пр.5.1.ведом.21-22'!H721</f>
        <v>0</v>
      </c>
    </row>
    <row r="655" spans="1:7" ht="47.25" x14ac:dyDescent="0.25">
      <c r="A655" s="34" t="s">
        <v>721</v>
      </c>
      <c r="B655" s="24" t="s">
        <v>280</v>
      </c>
      <c r="C655" s="24" t="s">
        <v>231</v>
      </c>
      <c r="D655" s="24" t="s">
        <v>463</v>
      </c>
      <c r="E655" s="24"/>
      <c r="F655" s="4">
        <f>F656+F660</f>
        <v>689</v>
      </c>
      <c r="G655" s="4">
        <f>G656+G660</f>
        <v>689</v>
      </c>
    </row>
    <row r="656" spans="1:7" ht="47.25" hidden="1" x14ac:dyDescent="0.25">
      <c r="A656" s="23" t="s">
        <v>1052</v>
      </c>
      <c r="B656" s="24" t="s">
        <v>280</v>
      </c>
      <c r="C656" s="24" t="s">
        <v>231</v>
      </c>
      <c r="D656" s="24" t="s">
        <v>1233</v>
      </c>
      <c r="E656" s="24"/>
      <c r="F656" s="4">
        <f>F657</f>
        <v>0</v>
      </c>
      <c r="G656" s="4">
        <f>G657</f>
        <v>0</v>
      </c>
    </row>
    <row r="657" spans="1:7" ht="31.5" hidden="1" x14ac:dyDescent="0.25">
      <c r="A657" s="45" t="s">
        <v>789</v>
      </c>
      <c r="B657" s="20" t="s">
        <v>280</v>
      </c>
      <c r="C657" s="20" t="s">
        <v>231</v>
      </c>
      <c r="D657" s="20" t="s">
        <v>1234</v>
      </c>
      <c r="E657" s="20"/>
      <c r="F657" s="6">
        <f>'Пр.3 Рд,пр, ЦС,ВР 20'!F691</f>
        <v>0</v>
      </c>
      <c r="G657" s="6">
        <f t="shared" ref="G657:G683" si="42">F657</f>
        <v>0</v>
      </c>
    </row>
    <row r="658" spans="1:7" ht="47.25" hidden="1" x14ac:dyDescent="0.25">
      <c r="A658" s="31" t="s">
        <v>288</v>
      </c>
      <c r="B658" s="20" t="s">
        <v>280</v>
      </c>
      <c r="C658" s="20" t="s">
        <v>231</v>
      </c>
      <c r="D658" s="20" t="s">
        <v>1234</v>
      </c>
      <c r="E658" s="20" t="s">
        <v>289</v>
      </c>
      <c r="F658" s="6">
        <f>'Пр.3 Рд,пр, ЦС,ВР 20'!F692</f>
        <v>0</v>
      </c>
      <c r="G658" s="6">
        <f t="shared" si="42"/>
        <v>0</v>
      </c>
    </row>
    <row r="659" spans="1:7" ht="15.75" hidden="1" x14ac:dyDescent="0.25">
      <c r="A659" s="31" t="s">
        <v>290</v>
      </c>
      <c r="B659" s="20" t="s">
        <v>280</v>
      </c>
      <c r="C659" s="20" t="s">
        <v>231</v>
      </c>
      <c r="D659" s="20" t="s">
        <v>1234</v>
      </c>
      <c r="E659" s="20" t="s">
        <v>291</v>
      </c>
      <c r="F659" s="6">
        <f>'Пр.3 Рд,пр, ЦС,ВР 20'!F693</f>
        <v>0</v>
      </c>
      <c r="G659" s="6">
        <f t="shared" si="42"/>
        <v>0</v>
      </c>
    </row>
    <row r="660" spans="1:7" ht="47.25" x14ac:dyDescent="0.25">
      <c r="A660" s="231" t="s">
        <v>1077</v>
      </c>
      <c r="B660" s="24" t="s">
        <v>280</v>
      </c>
      <c r="C660" s="24" t="s">
        <v>231</v>
      </c>
      <c r="D660" s="24" t="s">
        <v>1053</v>
      </c>
      <c r="E660" s="24"/>
      <c r="F660" s="4">
        <f t="shared" ref="F660:G662" si="43">F661</f>
        <v>689</v>
      </c>
      <c r="G660" s="4">
        <f t="shared" si="43"/>
        <v>689</v>
      </c>
    </row>
    <row r="661" spans="1:7" ht="47.25" x14ac:dyDescent="0.25">
      <c r="A661" s="45" t="s">
        <v>787</v>
      </c>
      <c r="B661" s="20" t="s">
        <v>280</v>
      </c>
      <c r="C661" s="20" t="s">
        <v>231</v>
      </c>
      <c r="D661" s="20" t="s">
        <v>1054</v>
      </c>
      <c r="E661" s="20"/>
      <c r="F661" s="6">
        <f t="shared" si="43"/>
        <v>689</v>
      </c>
      <c r="G661" s="6">
        <f t="shared" si="43"/>
        <v>689</v>
      </c>
    </row>
    <row r="662" spans="1:7" ht="47.25" x14ac:dyDescent="0.25">
      <c r="A662" s="25" t="s">
        <v>288</v>
      </c>
      <c r="B662" s="20" t="s">
        <v>280</v>
      </c>
      <c r="C662" s="20" t="s">
        <v>231</v>
      </c>
      <c r="D662" s="20" t="s">
        <v>1054</v>
      </c>
      <c r="E662" s="20" t="s">
        <v>289</v>
      </c>
      <c r="F662" s="6">
        <f t="shared" si="43"/>
        <v>689</v>
      </c>
      <c r="G662" s="6">
        <f t="shared" si="43"/>
        <v>689</v>
      </c>
    </row>
    <row r="663" spans="1:7" ht="15.75" x14ac:dyDescent="0.25">
      <c r="A663" s="31" t="s">
        <v>290</v>
      </c>
      <c r="B663" s="20" t="s">
        <v>280</v>
      </c>
      <c r="C663" s="20" t="s">
        <v>231</v>
      </c>
      <c r="D663" s="20" t="s">
        <v>1054</v>
      </c>
      <c r="E663" s="20" t="s">
        <v>291</v>
      </c>
      <c r="F663" s="6">
        <f>'пр.5.1.ведом.21-22'!G730</f>
        <v>689</v>
      </c>
      <c r="G663" s="6">
        <f>'пр.5.1.ведом.21-22'!H730</f>
        <v>689</v>
      </c>
    </row>
    <row r="664" spans="1:7" ht="47.25" x14ac:dyDescent="0.25">
      <c r="A664" s="23" t="s">
        <v>1426</v>
      </c>
      <c r="B664" s="24" t="s">
        <v>280</v>
      </c>
      <c r="C664" s="24" t="s">
        <v>231</v>
      </c>
      <c r="D664" s="24" t="s">
        <v>283</v>
      </c>
      <c r="E664" s="24"/>
      <c r="F664" s="4">
        <f>F665</f>
        <v>16643.7</v>
      </c>
      <c r="G664" s="4">
        <f>G665</f>
        <v>16643.7</v>
      </c>
    </row>
    <row r="665" spans="1:7" ht="63" x14ac:dyDescent="0.25">
      <c r="A665" s="23" t="s">
        <v>1445</v>
      </c>
      <c r="B665" s="24" t="s">
        <v>280</v>
      </c>
      <c r="C665" s="24" t="s">
        <v>231</v>
      </c>
      <c r="D665" s="24" t="s">
        <v>285</v>
      </c>
      <c r="E665" s="24"/>
      <c r="F665" s="4">
        <f>F666+F674+F678+F684+F688</f>
        <v>16643.7</v>
      </c>
      <c r="G665" s="4">
        <f>G666+G674+G678+G684+G688</f>
        <v>16643.7</v>
      </c>
    </row>
    <row r="666" spans="1:7" ht="47.25" x14ac:dyDescent="0.25">
      <c r="A666" s="23" t="s">
        <v>941</v>
      </c>
      <c r="B666" s="24" t="s">
        <v>280</v>
      </c>
      <c r="C666" s="24" t="s">
        <v>231</v>
      </c>
      <c r="D666" s="24" t="s">
        <v>942</v>
      </c>
      <c r="E666" s="24"/>
      <c r="F666" s="4">
        <f>F667</f>
        <v>15011</v>
      </c>
      <c r="G666" s="4">
        <f>G667</f>
        <v>15011</v>
      </c>
    </row>
    <row r="667" spans="1:7" ht="31.5" x14ac:dyDescent="0.25">
      <c r="A667" s="25" t="s">
        <v>832</v>
      </c>
      <c r="B667" s="20" t="s">
        <v>280</v>
      </c>
      <c r="C667" s="20" t="s">
        <v>231</v>
      </c>
      <c r="D667" s="20" t="s">
        <v>940</v>
      </c>
      <c r="E667" s="20"/>
      <c r="F667" s="6">
        <f>F668+F670+F672</f>
        <v>15011</v>
      </c>
      <c r="G667" s="6">
        <f>G668+G670+G672</f>
        <v>15011</v>
      </c>
    </row>
    <row r="668" spans="1:7" ht="94.5" x14ac:dyDescent="0.25">
      <c r="A668" s="25" t="s">
        <v>143</v>
      </c>
      <c r="B668" s="20" t="s">
        <v>280</v>
      </c>
      <c r="C668" s="20" t="s">
        <v>231</v>
      </c>
      <c r="D668" s="20" t="s">
        <v>940</v>
      </c>
      <c r="E668" s="20" t="s">
        <v>144</v>
      </c>
      <c r="F668" s="6">
        <f>F669</f>
        <v>13393</v>
      </c>
      <c r="G668" s="6">
        <f>G669</f>
        <v>13393</v>
      </c>
    </row>
    <row r="669" spans="1:7" ht="31.5" x14ac:dyDescent="0.25">
      <c r="A669" s="46" t="s">
        <v>358</v>
      </c>
      <c r="B669" s="20" t="s">
        <v>280</v>
      </c>
      <c r="C669" s="20" t="s">
        <v>231</v>
      </c>
      <c r="D669" s="20" t="s">
        <v>940</v>
      </c>
      <c r="E669" s="20" t="s">
        <v>225</v>
      </c>
      <c r="F669" s="6">
        <f>'пр.5.1.ведом.21-22'!G284</f>
        <v>13393</v>
      </c>
      <c r="G669" s="6">
        <f>'пр.5.1.ведом.21-22'!H284</f>
        <v>13393</v>
      </c>
    </row>
    <row r="670" spans="1:7" ht="31.5" x14ac:dyDescent="0.25">
      <c r="A670" s="25" t="s">
        <v>147</v>
      </c>
      <c r="B670" s="20" t="s">
        <v>280</v>
      </c>
      <c r="C670" s="20" t="s">
        <v>231</v>
      </c>
      <c r="D670" s="20" t="s">
        <v>940</v>
      </c>
      <c r="E670" s="20" t="s">
        <v>148</v>
      </c>
      <c r="F670" s="6">
        <f>F671</f>
        <v>1540</v>
      </c>
      <c r="G670" s="6">
        <f>G671</f>
        <v>1540</v>
      </c>
    </row>
    <row r="671" spans="1:7" ht="47.25" x14ac:dyDescent="0.25">
      <c r="A671" s="25" t="s">
        <v>149</v>
      </c>
      <c r="B671" s="20" t="s">
        <v>280</v>
      </c>
      <c r="C671" s="20" t="s">
        <v>231</v>
      </c>
      <c r="D671" s="20" t="s">
        <v>940</v>
      </c>
      <c r="E671" s="20" t="s">
        <v>150</v>
      </c>
      <c r="F671" s="6">
        <f>'пр.5.1.ведом.21-22'!G286</f>
        <v>1540</v>
      </c>
      <c r="G671" s="6">
        <f>'пр.5.1.ведом.21-22'!H286</f>
        <v>1540</v>
      </c>
    </row>
    <row r="672" spans="1:7" ht="15.75" x14ac:dyDescent="0.25">
      <c r="A672" s="25" t="s">
        <v>151</v>
      </c>
      <c r="B672" s="20" t="s">
        <v>280</v>
      </c>
      <c r="C672" s="20" t="s">
        <v>231</v>
      </c>
      <c r="D672" s="20" t="s">
        <v>940</v>
      </c>
      <c r="E672" s="20" t="s">
        <v>161</v>
      </c>
      <c r="F672" s="6">
        <f>F673</f>
        <v>78</v>
      </c>
      <c r="G672" s="6">
        <f>G673</f>
        <v>78</v>
      </c>
    </row>
    <row r="673" spans="1:7" ht="15.75" x14ac:dyDescent="0.25">
      <c r="A673" s="25" t="s">
        <v>727</v>
      </c>
      <c r="B673" s="20" t="s">
        <v>280</v>
      </c>
      <c r="C673" s="20" t="s">
        <v>231</v>
      </c>
      <c r="D673" s="20" t="s">
        <v>940</v>
      </c>
      <c r="E673" s="20" t="s">
        <v>154</v>
      </c>
      <c r="F673" s="6">
        <f>'пр.5.1.ведом.21-22'!G288</f>
        <v>78</v>
      </c>
      <c r="G673" s="6">
        <f>'пр.5.1.ведом.21-22'!H288</f>
        <v>78</v>
      </c>
    </row>
    <row r="674" spans="1:7" ht="47.25" x14ac:dyDescent="0.25">
      <c r="A674" s="228" t="s">
        <v>1189</v>
      </c>
      <c r="B674" s="24" t="s">
        <v>280</v>
      </c>
      <c r="C674" s="24" t="s">
        <v>231</v>
      </c>
      <c r="D674" s="24" t="s">
        <v>944</v>
      </c>
      <c r="E674" s="24"/>
      <c r="F674" s="4">
        <f t="shared" ref="F674:G676" si="44">F675</f>
        <v>45</v>
      </c>
      <c r="G674" s="4">
        <f t="shared" si="44"/>
        <v>45</v>
      </c>
    </row>
    <row r="675" spans="1:7" ht="31.5" x14ac:dyDescent="0.25">
      <c r="A675" s="209" t="s">
        <v>831</v>
      </c>
      <c r="B675" s="20" t="s">
        <v>280</v>
      </c>
      <c r="C675" s="20" t="s">
        <v>231</v>
      </c>
      <c r="D675" s="20" t="s">
        <v>943</v>
      </c>
      <c r="E675" s="20"/>
      <c r="F675" s="6">
        <f t="shared" si="44"/>
        <v>45</v>
      </c>
      <c r="G675" s="6">
        <f t="shared" si="44"/>
        <v>45</v>
      </c>
    </row>
    <row r="676" spans="1:7" ht="31.5" x14ac:dyDescent="0.25">
      <c r="A676" s="25" t="s">
        <v>264</v>
      </c>
      <c r="B676" s="20" t="s">
        <v>280</v>
      </c>
      <c r="C676" s="20" t="s">
        <v>231</v>
      </c>
      <c r="D676" s="20" t="s">
        <v>943</v>
      </c>
      <c r="E676" s="20" t="s">
        <v>265</v>
      </c>
      <c r="F676" s="6">
        <f t="shared" si="44"/>
        <v>45</v>
      </c>
      <c r="G676" s="6">
        <f t="shared" si="44"/>
        <v>45</v>
      </c>
    </row>
    <row r="677" spans="1:7" ht="15.75" x14ac:dyDescent="0.25">
      <c r="A677" s="25" t="s">
        <v>865</v>
      </c>
      <c r="B677" s="20" t="s">
        <v>280</v>
      </c>
      <c r="C677" s="20" t="s">
        <v>231</v>
      </c>
      <c r="D677" s="20" t="s">
        <v>943</v>
      </c>
      <c r="E677" s="20" t="s">
        <v>864</v>
      </c>
      <c r="F677" s="6">
        <f>'пр.5.1.ведом.21-22'!G292</f>
        <v>45</v>
      </c>
      <c r="G677" s="6">
        <f>'пр.5.1.ведом.21-22'!H292</f>
        <v>45</v>
      </c>
    </row>
    <row r="678" spans="1:7" ht="63" x14ac:dyDescent="0.25">
      <c r="A678" s="233" t="s">
        <v>1168</v>
      </c>
      <c r="B678" s="24" t="s">
        <v>280</v>
      </c>
      <c r="C678" s="24" t="s">
        <v>231</v>
      </c>
      <c r="D678" s="24" t="s">
        <v>945</v>
      </c>
      <c r="E678" s="24"/>
      <c r="F678" s="4">
        <f t="shared" ref="F678:G680" si="45">F679</f>
        <v>250</v>
      </c>
      <c r="G678" s="4">
        <f t="shared" si="45"/>
        <v>250</v>
      </c>
    </row>
    <row r="679" spans="1:7" ht="47.25" x14ac:dyDescent="0.25">
      <c r="A679" s="31" t="s">
        <v>860</v>
      </c>
      <c r="B679" s="20" t="s">
        <v>280</v>
      </c>
      <c r="C679" s="20" t="s">
        <v>231</v>
      </c>
      <c r="D679" s="20" t="s">
        <v>946</v>
      </c>
      <c r="E679" s="20"/>
      <c r="F679" s="6">
        <f t="shared" si="45"/>
        <v>250</v>
      </c>
      <c r="G679" s="6">
        <f t="shared" si="45"/>
        <v>250</v>
      </c>
    </row>
    <row r="680" spans="1:7" ht="94.5" x14ac:dyDescent="0.25">
      <c r="A680" s="25" t="s">
        <v>143</v>
      </c>
      <c r="B680" s="20" t="s">
        <v>280</v>
      </c>
      <c r="C680" s="20" t="s">
        <v>231</v>
      </c>
      <c r="D680" s="20" t="s">
        <v>946</v>
      </c>
      <c r="E680" s="20" t="s">
        <v>144</v>
      </c>
      <c r="F680" s="6">
        <f t="shared" si="45"/>
        <v>250</v>
      </c>
      <c r="G680" s="6">
        <f t="shared" si="45"/>
        <v>250</v>
      </c>
    </row>
    <row r="681" spans="1:7" ht="31.5" x14ac:dyDescent="0.25">
      <c r="A681" s="46" t="s">
        <v>358</v>
      </c>
      <c r="B681" s="20" t="s">
        <v>280</v>
      </c>
      <c r="C681" s="20" t="s">
        <v>231</v>
      </c>
      <c r="D681" s="20" t="s">
        <v>946</v>
      </c>
      <c r="E681" s="20" t="s">
        <v>225</v>
      </c>
      <c r="F681" s="6">
        <f>'пр.5.1.ведом.21-22'!G296</f>
        <v>250</v>
      </c>
      <c r="G681" s="6">
        <f>'пр.5.1.ведом.21-22'!H296</f>
        <v>250</v>
      </c>
    </row>
    <row r="682" spans="1:7" ht="31.5" hidden="1" x14ac:dyDescent="0.25">
      <c r="A682" s="25" t="s">
        <v>147</v>
      </c>
      <c r="B682" s="20" t="s">
        <v>280</v>
      </c>
      <c r="C682" s="20" t="s">
        <v>231</v>
      </c>
      <c r="D682" s="20" t="s">
        <v>946</v>
      </c>
      <c r="E682" s="20" t="s">
        <v>148</v>
      </c>
      <c r="F682" s="6">
        <f>'Пр.3 Рд,пр, ЦС,ВР 20'!F716</f>
        <v>0</v>
      </c>
      <c r="G682" s="6">
        <f t="shared" si="42"/>
        <v>0</v>
      </c>
    </row>
    <row r="683" spans="1:7" ht="47.25" hidden="1" x14ac:dyDescent="0.25">
      <c r="A683" s="25" t="s">
        <v>149</v>
      </c>
      <c r="B683" s="20" t="s">
        <v>280</v>
      </c>
      <c r="C683" s="20" t="s">
        <v>231</v>
      </c>
      <c r="D683" s="20" t="s">
        <v>946</v>
      </c>
      <c r="E683" s="20" t="s">
        <v>150</v>
      </c>
      <c r="F683" s="6">
        <f>'Пр.3 Рд,пр, ЦС,ВР 20'!F717</f>
        <v>0</v>
      </c>
      <c r="G683" s="6">
        <f t="shared" si="42"/>
        <v>0</v>
      </c>
    </row>
    <row r="684" spans="1:7" ht="47.25" x14ac:dyDescent="0.25">
      <c r="A684" s="23" t="s">
        <v>1076</v>
      </c>
      <c r="B684" s="24" t="s">
        <v>280</v>
      </c>
      <c r="C684" s="24" t="s">
        <v>231</v>
      </c>
      <c r="D684" s="24" t="s">
        <v>951</v>
      </c>
      <c r="E684" s="24"/>
      <c r="F684" s="4">
        <f t="shared" ref="F684:G686" si="46">F685</f>
        <v>336</v>
      </c>
      <c r="G684" s="4">
        <f t="shared" si="46"/>
        <v>336</v>
      </c>
    </row>
    <row r="685" spans="1:7" ht="47.25" x14ac:dyDescent="0.25">
      <c r="A685" s="25" t="s">
        <v>885</v>
      </c>
      <c r="B685" s="20" t="s">
        <v>280</v>
      </c>
      <c r="C685" s="20" t="s">
        <v>231</v>
      </c>
      <c r="D685" s="20" t="s">
        <v>1263</v>
      </c>
      <c r="E685" s="20"/>
      <c r="F685" s="6">
        <f t="shared" si="46"/>
        <v>336</v>
      </c>
      <c r="G685" s="6">
        <f t="shared" si="46"/>
        <v>336</v>
      </c>
    </row>
    <row r="686" spans="1:7" ht="94.5" x14ac:dyDescent="0.25">
      <c r="A686" s="25" t="s">
        <v>143</v>
      </c>
      <c r="B686" s="20" t="s">
        <v>280</v>
      </c>
      <c r="C686" s="20" t="s">
        <v>231</v>
      </c>
      <c r="D686" s="20" t="s">
        <v>1263</v>
      </c>
      <c r="E686" s="20" t="s">
        <v>144</v>
      </c>
      <c r="F686" s="6">
        <f t="shared" si="46"/>
        <v>336</v>
      </c>
      <c r="G686" s="6">
        <f t="shared" si="46"/>
        <v>336</v>
      </c>
    </row>
    <row r="687" spans="1:7" ht="47.25" x14ac:dyDescent="0.25">
      <c r="A687" s="25" t="s">
        <v>145</v>
      </c>
      <c r="B687" s="20" t="s">
        <v>280</v>
      </c>
      <c r="C687" s="20" t="s">
        <v>231</v>
      </c>
      <c r="D687" s="20" t="s">
        <v>1263</v>
      </c>
      <c r="E687" s="20" t="s">
        <v>225</v>
      </c>
      <c r="F687" s="6">
        <f>'пр.5.1.ведом.21-22'!G302</f>
        <v>336</v>
      </c>
      <c r="G687" s="6">
        <f>'пр.5.1.ведом.21-22'!H302</f>
        <v>336</v>
      </c>
    </row>
    <row r="688" spans="1:7" ht="56.25" customHeight="1" x14ac:dyDescent="0.25">
      <c r="A688" s="23" t="s">
        <v>971</v>
      </c>
      <c r="B688" s="24" t="s">
        <v>280</v>
      </c>
      <c r="C688" s="24" t="s">
        <v>231</v>
      </c>
      <c r="D688" s="24" t="s">
        <v>1264</v>
      </c>
      <c r="E688" s="24"/>
      <c r="F688" s="4">
        <f>F692+F695+F698+F689</f>
        <v>1001.7</v>
      </c>
      <c r="G688" s="4">
        <f>G692+G695+G698+G689</f>
        <v>1001.7</v>
      </c>
    </row>
    <row r="689" spans="1:7" s="331" customFormat="1" ht="115.5" customHeight="1" x14ac:dyDescent="0.25">
      <c r="A689" s="31" t="s">
        <v>309</v>
      </c>
      <c r="B689" s="338" t="s">
        <v>280</v>
      </c>
      <c r="C689" s="338" t="s">
        <v>231</v>
      </c>
      <c r="D689" s="338" t="s">
        <v>1520</v>
      </c>
      <c r="E689" s="338"/>
      <c r="F689" s="6">
        <f>F690</f>
        <v>602.5</v>
      </c>
      <c r="G689" s="6">
        <f>G690</f>
        <v>602.5</v>
      </c>
    </row>
    <row r="690" spans="1:7" s="331" customFormat="1" ht="104.25" customHeight="1" x14ac:dyDescent="0.25">
      <c r="A690" s="342" t="s">
        <v>143</v>
      </c>
      <c r="B690" s="338" t="s">
        <v>280</v>
      </c>
      <c r="C690" s="338" t="s">
        <v>231</v>
      </c>
      <c r="D690" s="338" t="s">
        <v>1520</v>
      </c>
      <c r="E690" s="338" t="s">
        <v>144</v>
      </c>
      <c r="F690" s="6">
        <f>F691</f>
        <v>602.5</v>
      </c>
      <c r="G690" s="6">
        <f>G691</f>
        <v>602.5</v>
      </c>
    </row>
    <row r="691" spans="1:7" s="331" customFormat="1" ht="38.25" customHeight="1" x14ac:dyDescent="0.25">
      <c r="A691" s="46" t="s">
        <v>358</v>
      </c>
      <c r="B691" s="338" t="s">
        <v>280</v>
      </c>
      <c r="C691" s="338" t="s">
        <v>231</v>
      </c>
      <c r="D691" s="338" t="s">
        <v>1520</v>
      </c>
      <c r="E691" s="338" t="s">
        <v>225</v>
      </c>
      <c r="F691" s="6">
        <f>'пр.5.1.ведом.21-22'!G306</f>
        <v>602.5</v>
      </c>
      <c r="G691" s="6">
        <f>'пр.5.1.ведом.21-22'!H306</f>
        <v>602.5</v>
      </c>
    </row>
    <row r="692" spans="1:7" ht="78.75" x14ac:dyDescent="0.25">
      <c r="A692" s="31" t="s">
        <v>305</v>
      </c>
      <c r="B692" s="20" t="s">
        <v>280</v>
      </c>
      <c r="C692" s="20" t="s">
        <v>231</v>
      </c>
      <c r="D692" s="20" t="s">
        <v>1265</v>
      </c>
      <c r="E692" s="20"/>
      <c r="F692" s="6">
        <f>F693</f>
        <v>100.8</v>
      </c>
      <c r="G692" s="6">
        <f>G693</f>
        <v>100.8</v>
      </c>
    </row>
    <row r="693" spans="1:7" ht="94.5" x14ac:dyDescent="0.25">
      <c r="A693" s="25" t="s">
        <v>143</v>
      </c>
      <c r="B693" s="20" t="s">
        <v>280</v>
      </c>
      <c r="C693" s="20" t="s">
        <v>231</v>
      </c>
      <c r="D693" s="20" t="s">
        <v>1265</v>
      </c>
      <c r="E693" s="20" t="s">
        <v>144</v>
      </c>
      <c r="F693" s="6">
        <f>F694</f>
        <v>100.8</v>
      </c>
      <c r="G693" s="6">
        <f>G694</f>
        <v>100.8</v>
      </c>
    </row>
    <row r="694" spans="1:7" ht="31.5" x14ac:dyDescent="0.25">
      <c r="A694" s="46" t="s">
        <v>358</v>
      </c>
      <c r="B694" s="20" t="s">
        <v>280</v>
      </c>
      <c r="C694" s="20" t="s">
        <v>231</v>
      </c>
      <c r="D694" s="20" t="s">
        <v>1265</v>
      </c>
      <c r="E694" s="20" t="s">
        <v>225</v>
      </c>
      <c r="F694" s="6">
        <f>'пр.5.1.ведом.21-22'!G309</f>
        <v>100.8</v>
      </c>
      <c r="G694" s="6">
        <f>'пр.5.1.ведом.21-22'!H309</f>
        <v>100.8</v>
      </c>
    </row>
    <row r="695" spans="1:7" ht="94.5" x14ac:dyDescent="0.25">
      <c r="A695" s="31" t="s">
        <v>307</v>
      </c>
      <c r="B695" s="20" t="s">
        <v>280</v>
      </c>
      <c r="C695" s="20" t="s">
        <v>231</v>
      </c>
      <c r="D695" s="20" t="s">
        <v>1266</v>
      </c>
      <c r="E695" s="20"/>
      <c r="F695" s="6">
        <f>F696</f>
        <v>298.39999999999998</v>
      </c>
      <c r="G695" s="6">
        <f>G696</f>
        <v>298.39999999999998</v>
      </c>
    </row>
    <row r="696" spans="1:7" ht="94.5" x14ac:dyDescent="0.25">
      <c r="A696" s="25" t="s">
        <v>143</v>
      </c>
      <c r="B696" s="20" t="s">
        <v>280</v>
      </c>
      <c r="C696" s="20" t="s">
        <v>231</v>
      </c>
      <c r="D696" s="20" t="s">
        <v>1266</v>
      </c>
      <c r="E696" s="20" t="s">
        <v>144</v>
      </c>
      <c r="F696" s="6">
        <f>F697</f>
        <v>298.39999999999998</v>
      </c>
      <c r="G696" s="6">
        <f>G697</f>
        <v>298.39999999999998</v>
      </c>
    </row>
    <row r="697" spans="1:7" ht="31.5" x14ac:dyDescent="0.25">
      <c r="A697" s="46" t="s">
        <v>358</v>
      </c>
      <c r="B697" s="20" t="s">
        <v>280</v>
      </c>
      <c r="C697" s="20" t="s">
        <v>231</v>
      </c>
      <c r="D697" s="20" t="s">
        <v>1266</v>
      </c>
      <c r="E697" s="20" t="s">
        <v>225</v>
      </c>
      <c r="F697" s="6">
        <f>'пр.5.1.ведом.21-22'!G312</f>
        <v>298.39999999999998</v>
      </c>
      <c r="G697" s="6">
        <f>'пр.5.1.ведом.21-22'!H312</f>
        <v>298.39999999999998</v>
      </c>
    </row>
    <row r="698" spans="1:7" ht="126" hidden="1" x14ac:dyDescent="0.25">
      <c r="A698" s="31" t="s">
        <v>309</v>
      </c>
      <c r="B698" s="20" t="s">
        <v>280</v>
      </c>
      <c r="C698" s="20" t="s">
        <v>231</v>
      </c>
      <c r="D698" s="20" t="s">
        <v>1267</v>
      </c>
      <c r="E698" s="20"/>
      <c r="F698" s="6">
        <f>F699</f>
        <v>0</v>
      </c>
      <c r="G698" s="6">
        <f>G699</f>
        <v>0</v>
      </c>
    </row>
    <row r="699" spans="1:7" ht="94.5" hidden="1" x14ac:dyDescent="0.25">
      <c r="A699" s="25" t="s">
        <v>143</v>
      </c>
      <c r="B699" s="20" t="s">
        <v>280</v>
      </c>
      <c r="C699" s="20" t="s">
        <v>231</v>
      </c>
      <c r="D699" s="20" t="s">
        <v>1267</v>
      </c>
      <c r="E699" s="20" t="s">
        <v>144</v>
      </c>
      <c r="F699" s="6">
        <f>F700</f>
        <v>0</v>
      </c>
      <c r="G699" s="6">
        <f>G700</f>
        <v>0</v>
      </c>
    </row>
    <row r="700" spans="1:7" ht="31.5" hidden="1" x14ac:dyDescent="0.25">
      <c r="A700" s="46" t="s">
        <v>358</v>
      </c>
      <c r="B700" s="20" t="s">
        <v>280</v>
      </c>
      <c r="C700" s="20" t="s">
        <v>231</v>
      </c>
      <c r="D700" s="20" t="s">
        <v>1267</v>
      </c>
      <c r="E700" s="20" t="s">
        <v>225</v>
      </c>
      <c r="F700" s="6">
        <f>'пр.5.1.ведом.21-22'!G315</f>
        <v>0</v>
      </c>
      <c r="G700" s="6">
        <f>'пр.5.1.ведом.21-22'!H315</f>
        <v>0</v>
      </c>
    </row>
    <row r="701" spans="1:7" ht="78.75" x14ac:dyDescent="0.25">
      <c r="A701" s="41" t="s">
        <v>1425</v>
      </c>
      <c r="B701" s="24" t="s">
        <v>280</v>
      </c>
      <c r="C701" s="24" t="s">
        <v>231</v>
      </c>
      <c r="D701" s="24" t="s">
        <v>728</v>
      </c>
      <c r="E701" s="24"/>
      <c r="F701" s="4">
        <f>F702</f>
        <v>521.70000000000005</v>
      </c>
      <c r="G701" s="4">
        <f>G702</f>
        <v>521.70000000000005</v>
      </c>
    </row>
    <row r="702" spans="1:7" ht="63" x14ac:dyDescent="0.25">
      <c r="A702" s="41" t="s">
        <v>949</v>
      </c>
      <c r="B702" s="24" t="s">
        <v>280</v>
      </c>
      <c r="C702" s="24" t="s">
        <v>231</v>
      </c>
      <c r="D702" s="24" t="s">
        <v>947</v>
      </c>
      <c r="E702" s="24"/>
      <c r="F702" s="4">
        <f>F703+F706</f>
        <v>521.70000000000005</v>
      </c>
      <c r="G702" s="4">
        <f>G703+G706</f>
        <v>521.70000000000005</v>
      </c>
    </row>
    <row r="703" spans="1:7" ht="47.25" x14ac:dyDescent="0.25">
      <c r="A703" s="99" t="s">
        <v>1157</v>
      </c>
      <c r="B703" s="20" t="s">
        <v>280</v>
      </c>
      <c r="C703" s="20" t="s">
        <v>231</v>
      </c>
      <c r="D703" s="20" t="s">
        <v>948</v>
      </c>
      <c r="E703" s="32"/>
      <c r="F703" s="6">
        <f>F704</f>
        <v>221</v>
      </c>
      <c r="G703" s="6">
        <f>G704</f>
        <v>221</v>
      </c>
    </row>
    <row r="704" spans="1:7" ht="31.5" x14ac:dyDescent="0.25">
      <c r="A704" s="25" t="s">
        <v>147</v>
      </c>
      <c r="B704" s="20" t="s">
        <v>280</v>
      </c>
      <c r="C704" s="20" t="s">
        <v>231</v>
      </c>
      <c r="D704" s="20" t="s">
        <v>948</v>
      </c>
      <c r="E704" s="32" t="s">
        <v>148</v>
      </c>
      <c r="F704" s="6">
        <f>F705</f>
        <v>221</v>
      </c>
      <c r="G704" s="6">
        <f>G705</f>
        <v>221</v>
      </c>
    </row>
    <row r="705" spans="1:7" ht="47.25" x14ac:dyDescent="0.25">
      <c r="A705" s="25" t="s">
        <v>149</v>
      </c>
      <c r="B705" s="20" t="s">
        <v>280</v>
      </c>
      <c r="C705" s="20" t="s">
        <v>231</v>
      </c>
      <c r="D705" s="20" t="s">
        <v>948</v>
      </c>
      <c r="E705" s="32" t="s">
        <v>150</v>
      </c>
      <c r="F705" s="6">
        <f>'пр.5.1.ведом.21-22'!G320</f>
        <v>221</v>
      </c>
      <c r="G705" s="6">
        <f>'пр.5.1.ведом.21-22'!H320</f>
        <v>221</v>
      </c>
    </row>
    <row r="706" spans="1:7" ht="47.25" x14ac:dyDescent="0.25">
      <c r="A706" s="99" t="s">
        <v>803</v>
      </c>
      <c r="B706" s="20" t="s">
        <v>280</v>
      </c>
      <c r="C706" s="20" t="s">
        <v>231</v>
      </c>
      <c r="D706" s="20" t="s">
        <v>1027</v>
      </c>
      <c r="E706" s="32"/>
      <c r="F706" s="6">
        <f>F707</f>
        <v>300.7</v>
      </c>
      <c r="G706" s="6">
        <f>G707</f>
        <v>300.7</v>
      </c>
    </row>
    <row r="707" spans="1:7" ht="47.25" x14ac:dyDescent="0.25">
      <c r="A707" s="29" t="s">
        <v>288</v>
      </c>
      <c r="B707" s="20" t="s">
        <v>280</v>
      </c>
      <c r="C707" s="20" t="s">
        <v>231</v>
      </c>
      <c r="D707" s="20" t="s">
        <v>1027</v>
      </c>
      <c r="E707" s="32" t="s">
        <v>289</v>
      </c>
      <c r="F707" s="6">
        <f>F708</f>
        <v>300.7</v>
      </c>
      <c r="G707" s="6">
        <f>G708</f>
        <v>300.7</v>
      </c>
    </row>
    <row r="708" spans="1:7" ht="15.75" x14ac:dyDescent="0.25">
      <c r="A708" s="192" t="s">
        <v>290</v>
      </c>
      <c r="B708" s="20" t="s">
        <v>280</v>
      </c>
      <c r="C708" s="20" t="s">
        <v>231</v>
      </c>
      <c r="D708" s="20" t="s">
        <v>1027</v>
      </c>
      <c r="E708" s="32" t="s">
        <v>291</v>
      </c>
      <c r="F708" s="6">
        <f>'пр.5.1.ведом.21-22'!G735</f>
        <v>300.7</v>
      </c>
      <c r="G708" s="6">
        <f>'пр.5.1.ведом.21-22'!H735</f>
        <v>300.7</v>
      </c>
    </row>
    <row r="709" spans="1:7" ht="31.5" x14ac:dyDescent="0.25">
      <c r="A709" s="23" t="s">
        <v>482</v>
      </c>
      <c r="B709" s="24" t="s">
        <v>280</v>
      </c>
      <c r="C709" s="24" t="s">
        <v>280</v>
      </c>
      <c r="D709" s="24"/>
      <c r="E709" s="235"/>
      <c r="F709" s="4">
        <f>F710+F729</f>
        <v>6564.9</v>
      </c>
      <c r="G709" s="4">
        <f>G710+G729</f>
        <v>6564.9</v>
      </c>
    </row>
    <row r="710" spans="1:7" ht="63" x14ac:dyDescent="0.25">
      <c r="A710" s="23" t="s">
        <v>1423</v>
      </c>
      <c r="B710" s="24" t="s">
        <v>280</v>
      </c>
      <c r="C710" s="24" t="s">
        <v>280</v>
      </c>
      <c r="D710" s="24" t="s">
        <v>360</v>
      </c>
      <c r="E710" s="24"/>
      <c r="F710" s="4">
        <f>F711</f>
        <v>760</v>
      </c>
      <c r="G710" s="4">
        <f>G711</f>
        <v>760</v>
      </c>
    </row>
    <row r="711" spans="1:7" ht="31.5" x14ac:dyDescent="0.25">
      <c r="A711" s="23" t="s">
        <v>361</v>
      </c>
      <c r="B711" s="24" t="s">
        <v>280</v>
      </c>
      <c r="C711" s="24" t="s">
        <v>280</v>
      </c>
      <c r="D711" s="24" t="s">
        <v>362</v>
      </c>
      <c r="E711" s="24"/>
      <c r="F711" s="4">
        <f>F712+F719+F725</f>
        <v>760</v>
      </c>
      <c r="G711" s="4">
        <f>G712+G719+G725</f>
        <v>760</v>
      </c>
    </row>
    <row r="712" spans="1:7" ht="63" x14ac:dyDescent="0.25">
      <c r="A712" s="223" t="s">
        <v>1196</v>
      </c>
      <c r="B712" s="24" t="s">
        <v>280</v>
      </c>
      <c r="C712" s="24" t="s">
        <v>280</v>
      </c>
      <c r="D712" s="24" t="s">
        <v>952</v>
      </c>
      <c r="E712" s="24"/>
      <c r="F712" s="4">
        <f>F713+F716</f>
        <v>280</v>
      </c>
      <c r="G712" s="4">
        <f>G713+G716</f>
        <v>280</v>
      </c>
    </row>
    <row r="713" spans="1:7" ht="31.5" x14ac:dyDescent="0.25">
      <c r="A713" s="99" t="s">
        <v>1202</v>
      </c>
      <c r="B713" s="20" t="s">
        <v>280</v>
      </c>
      <c r="C713" s="20" t="s">
        <v>280</v>
      </c>
      <c r="D713" s="20" t="s">
        <v>953</v>
      </c>
      <c r="E713" s="20"/>
      <c r="F713" s="6">
        <f>F714</f>
        <v>280</v>
      </c>
      <c r="G713" s="6">
        <f>G714</f>
        <v>280</v>
      </c>
    </row>
    <row r="714" spans="1:7" ht="94.5" x14ac:dyDescent="0.25">
      <c r="A714" s="25" t="s">
        <v>143</v>
      </c>
      <c r="B714" s="20" t="s">
        <v>280</v>
      </c>
      <c r="C714" s="20" t="s">
        <v>280</v>
      </c>
      <c r="D714" s="20" t="s">
        <v>953</v>
      </c>
      <c r="E714" s="20" t="s">
        <v>144</v>
      </c>
      <c r="F714" s="6">
        <f>F715</f>
        <v>280</v>
      </c>
      <c r="G714" s="6">
        <f>G715</f>
        <v>280</v>
      </c>
    </row>
    <row r="715" spans="1:7" ht="31.5" x14ac:dyDescent="0.25">
      <c r="A715" s="25" t="s">
        <v>358</v>
      </c>
      <c r="B715" s="20" t="s">
        <v>280</v>
      </c>
      <c r="C715" s="20" t="s">
        <v>280</v>
      </c>
      <c r="D715" s="20" t="s">
        <v>953</v>
      </c>
      <c r="E715" s="20" t="s">
        <v>225</v>
      </c>
      <c r="F715" s="6">
        <f>'пр.5.1.ведом.21-22'!G327</f>
        <v>280</v>
      </c>
      <c r="G715" s="6">
        <f>'пр.5.1.ведом.21-22'!H327</f>
        <v>280</v>
      </c>
    </row>
    <row r="716" spans="1:7" ht="31.5" hidden="1" x14ac:dyDescent="0.25">
      <c r="A716" s="25" t="s">
        <v>1197</v>
      </c>
      <c r="B716" s="20" t="s">
        <v>280</v>
      </c>
      <c r="C716" s="20" t="s">
        <v>280</v>
      </c>
      <c r="D716" s="20" t="s">
        <v>1221</v>
      </c>
      <c r="E716" s="20"/>
      <c r="F716" s="6">
        <f>'Пр.3 Рд,пр, ЦС,ВР 20'!F750</f>
        <v>0</v>
      </c>
      <c r="G716" s="6">
        <f t="shared" ref="G716:G718" si="47">F716</f>
        <v>0</v>
      </c>
    </row>
    <row r="717" spans="1:7" ht="31.5" hidden="1" x14ac:dyDescent="0.25">
      <c r="A717" s="25" t="s">
        <v>147</v>
      </c>
      <c r="B717" s="20" t="s">
        <v>280</v>
      </c>
      <c r="C717" s="20" t="s">
        <v>280</v>
      </c>
      <c r="D717" s="20" t="s">
        <v>1221</v>
      </c>
      <c r="E717" s="20" t="s">
        <v>148</v>
      </c>
      <c r="F717" s="6">
        <f>'Пр.3 Рд,пр, ЦС,ВР 20'!F751</f>
        <v>0</v>
      </c>
      <c r="G717" s="6">
        <f t="shared" si="47"/>
        <v>0</v>
      </c>
    </row>
    <row r="718" spans="1:7" ht="47.25" hidden="1" x14ac:dyDescent="0.25">
      <c r="A718" s="25" t="s">
        <v>149</v>
      </c>
      <c r="B718" s="20" t="s">
        <v>280</v>
      </c>
      <c r="C718" s="20" t="s">
        <v>280</v>
      </c>
      <c r="D718" s="20" t="s">
        <v>1221</v>
      </c>
      <c r="E718" s="20" t="s">
        <v>150</v>
      </c>
      <c r="F718" s="6">
        <f>'Пр.3 Рд,пр, ЦС,ВР 20'!F752</f>
        <v>0</v>
      </c>
      <c r="G718" s="6">
        <f t="shared" si="47"/>
        <v>0</v>
      </c>
    </row>
    <row r="719" spans="1:7" ht="78.75" x14ac:dyDescent="0.25">
      <c r="A719" s="23" t="s">
        <v>1198</v>
      </c>
      <c r="B719" s="24" t="s">
        <v>280</v>
      </c>
      <c r="C719" s="24" t="s">
        <v>280</v>
      </c>
      <c r="D719" s="24" t="s">
        <v>954</v>
      </c>
      <c r="E719" s="24"/>
      <c r="F719" s="4">
        <f>F720</f>
        <v>455</v>
      </c>
      <c r="G719" s="4">
        <f>G720</f>
        <v>455</v>
      </c>
    </row>
    <row r="720" spans="1:7" ht="31.5" x14ac:dyDescent="0.25">
      <c r="A720" s="25" t="s">
        <v>1199</v>
      </c>
      <c r="B720" s="20" t="s">
        <v>280</v>
      </c>
      <c r="C720" s="20" t="s">
        <v>280</v>
      </c>
      <c r="D720" s="20" t="s">
        <v>972</v>
      </c>
      <c r="E720" s="20"/>
      <c r="F720" s="6">
        <f>F721+F724</f>
        <v>455</v>
      </c>
      <c r="G720" s="6">
        <f>G721+G724</f>
        <v>455</v>
      </c>
    </row>
    <row r="721" spans="1:7" ht="94.5" x14ac:dyDescent="0.25">
      <c r="A721" s="25" t="s">
        <v>143</v>
      </c>
      <c r="B721" s="20" t="s">
        <v>280</v>
      </c>
      <c r="C721" s="20" t="s">
        <v>280</v>
      </c>
      <c r="D721" s="20" t="s">
        <v>972</v>
      </c>
      <c r="E721" s="20" t="s">
        <v>144</v>
      </c>
      <c r="F721" s="6">
        <f>F722</f>
        <v>40</v>
      </c>
      <c r="G721" s="6">
        <f>G722</f>
        <v>40</v>
      </c>
    </row>
    <row r="722" spans="1:7" ht="31.5" x14ac:dyDescent="0.25">
      <c r="A722" s="25" t="s">
        <v>358</v>
      </c>
      <c r="B722" s="20" t="s">
        <v>280</v>
      </c>
      <c r="C722" s="20" t="s">
        <v>280</v>
      </c>
      <c r="D722" s="20" t="s">
        <v>972</v>
      </c>
      <c r="E722" s="20" t="s">
        <v>225</v>
      </c>
      <c r="F722" s="6">
        <f>'пр.5.1.ведом.21-22'!G334</f>
        <v>40</v>
      </c>
      <c r="G722" s="6">
        <f>'пр.5.1.ведом.21-22'!H334</f>
        <v>40</v>
      </c>
    </row>
    <row r="723" spans="1:7" ht="31.5" x14ac:dyDescent="0.25">
      <c r="A723" s="25" t="s">
        <v>147</v>
      </c>
      <c r="B723" s="20" t="s">
        <v>280</v>
      </c>
      <c r="C723" s="20" t="s">
        <v>280</v>
      </c>
      <c r="D723" s="20" t="s">
        <v>972</v>
      </c>
      <c r="E723" s="20" t="s">
        <v>148</v>
      </c>
      <c r="F723" s="6">
        <f>F724</f>
        <v>415</v>
      </c>
      <c r="G723" s="6">
        <f>G724</f>
        <v>415</v>
      </c>
    </row>
    <row r="724" spans="1:7" ht="47.25" x14ac:dyDescent="0.25">
      <c r="A724" s="25" t="s">
        <v>149</v>
      </c>
      <c r="B724" s="20" t="s">
        <v>280</v>
      </c>
      <c r="C724" s="20" t="s">
        <v>280</v>
      </c>
      <c r="D724" s="20" t="s">
        <v>972</v>
      </c>
      <c r="E724" s="20" t="s">
        <v>150</v>
      </c>
      <c r="F724" s="6">
        <f>'пр.5.1.ведом.21-22'!G336</f>
        <v>415</v>
      </c>
      <c r="G724" s="6">
        <f>'пр.5.1.ведом.21-22'!H336</f>
        <v>415</v>
      </c>
    </row>
    <row r="725" spans="1:7" ht="47.25" x14ac:dyDescent="0.25">
      <c r="A725" s="23" t="s">
        <v>1204</v>
      </c>
      <c r="B725" s="24" t="s">
        <v>280</v>
      </c>
      <c r="C725" s="24" t="s">
        <v>280</v>
      </c>
      <c r="D725" s="24" t="s">
        <v>1200</v>
      </c>
      <c r="E725" s="24"/>
      <c r="F725" s="4">
        <f t="shared" ref="F725:G727" si="48">F726</f>
        <v>25</v>
      </c>
      <c r="G725" s="4">
        <f t="shared" si="48"/>
        <v>25</v>
      </c>
    </row>
    <row r="726" spans="1:7" ht="63" x14ac:dyDescent="0.25">
      <c r="A726" s="248" t="s">
        <v>1201</v>
      </c>
      <c r="B726" s="20" t="s">
        <v>280</v>
      </c>
      <c r="C726" s="20" t="s">
        <v>280</v>
      </c>
      <c r="D726" s="20" t="s">
        <v>1222</v>
      </c>
      <c r="E726" s="20"/>
      <c r="F726" s="6">
        <f t="shared" si="48"/>
        <v>25</v>
      </c>
      <c r="G726" s="6">
        <f t="shared" si="48"/>
        <v>25</v>
      </c>
    </row>
    <row r="727" spans="1:7" ht="31.5" x14ac:dyDescent="0.25">
      <c r="A727" s="25" t="s">
        <v>264</v>
      </c>
      <c r="B727" s="20" t="s">
        <v>280</v>
      </c>
      <c r="C727" s="20" t="s">
        <v>280</v>
      </c>
      <c r="D727" s="20" t="s">
        <v>1222</v>
      </c>
      <c r="E727" s="20" t="s">
        <v>265</v>
      </c>
      <c r="F727" s="6">
        <f t="shared" si="48"/>
        <v>25</v>
      </c>
      <c r="G727" s="6">
        <f t="shared" si="48"/>
        <v>25</v>
      </c>
    </row>
    <row r="728" spans="1:7" ht="37.5" customHeight="1" x14ac:dyDescent="0.25">
      <c r="A728" s="25" t="s">
        <v>1489</v>
      </c>
      <c r="B728" s="20" t="s">
        <v>280</v>
      </c>
      <c r="C728" s="20" t="s">
        <v>280</v>
      </c>
      <c r="D728" s="20" t="s">
        <v>1222</v>
      </c>
      <c r="E728" s="20" t="s">
        <v>1488</v>
      </c>
      <c r="F728" s="6">
        <f>'пр.5.1.ведом.21-22'!G340</f>
        <v>25</v>
      </c>
      <c r="G728" s="6">
        <f>'пр.5.1.ведом.21-22'!H340</f>
        <v>25</v>
      </c>
    </row>
    <row r="729" spans="1:7" ht="47.25" x14ac:dyDescent="0.25">
      <c r="A729" s="23" t="s">
        <v>1431</v>
      </c>
      <c r="B729" s="24" t="s">
        <v>280</v>
      </c>
      <c r="C729" s="24" t="s">
        <v>280</v>
      </c>
      <c r="D729" s="24" t="s">
        <v>422</v>
      </c>
      <c r="E729" s="24"/>
      <c r="F729" s="4">
        <f>F730</f>
        <v>5804.9</v>
      </c>
      <c r="G729" s="4">
        <f>G730</f>
        <v>5804.9</v>
      </c>
    </row>
    <row r="730" spans="1:7" ht="47.25" x14ac:dyDescent="0.25">
      <c r="A730" s="23" t="s">
        <v>483</v>
      </c>
      <c r="B730" s="24" t="s">
        <v>280</v>
      </c>
      <c r="C730" s="24" t="s">
        <v>484</v>
      </c>
      <c r="D730" s="24" t="s">
        <v>485</v>
      </c>
      <c r="E730" s="24"/>
      <c r="F730" s="4">
        <f>F731</f>
        <v>5804.9</v>
      </c>
      <c r="G730" s="4">
        <f>G731</f>
        <v>5804.9</v>
      </c>
    </row>
    <row r="731" spans="1:7" ht="31.5" x14ac:dyDescent="0.25">
      <c r="A731" s="23" t="s">
        <v>1056</v>
      </c>
      <c r="B731" s="24" t="s">
        <v>280</v>
      </c>
      <c r="C731" s="24" t="s">
        <v>280</v>
      </c>
      <c r="D731" s="24" t="s">
        <v>1057</v>
      </c>
      <c r="E731" s="24"/>
      <c r="F731" s="4">
        <f>F732+F735</f>
        <v>5804.9</v>
      </c>
      <c r="G731" s="4">
        <f>G732+G735</f>
        <v>5804.9</v>
      </c>
    </row>
    <row r="732" spans="1:7" ht="47.25" x14ac:dyDescent="0.25">
      <c r="A732" s="31" t="s">
        <v>1235</v>
      </c>
      <c r="B732" s="20" t="s">
        <v>280</v>
      </c>
      <c r="C732" s="20" t="s">
        <v>280</v>
      </c>
      <c r="D732" s="20" t="s">
        <v>1058</v>
      </c>
      <c r="E732" s="20"/>
      <c r="F732" s="6">
        <f>F733</f>
        <v>3584</v>
      </c>
      <c r="G732" s="6">
        <f>G733</f>
        <v>3584</v>
      </c>
    </row>
    <row r="733" spans="1:7" ht="47.25" x14ac:dyDescent="0.25">
      <c r="A733" s="25" t="s">
        <v>288</v>
      </c>
      <c r="B733" s="20" t="s">
        <v>280</v>
      </c>
      <c r="C733" s="20" t="s">
        <v>280</v>
      </c>
      <c r="D733" s="20" t="s">
        <v>1058</v>
      </c>
      <c r="E733" s="20" t="s">
        <v>289</v>
      </c>
      <c r="F733" s="6">
        <f>F734</f>
        <v>3584</v>
      </c>
      <c r="G733" s="6">
        <f>G734</f>
        <v>3584</v>
      </c>
    </row>
    <row r="734" spans="1:7" ht="15.75" x14ac:dyDescent="0.25">
      <c r="A734" s="25" t="s">
        <v>290</v>
      </c>
      <c r="B734" s="20" t="s">
        <v>280</v>
      </c>
      <c r="C734" s="20" t="s">
        <v>280</v>
      </c>
      <c r="D734" s="20" t="s">
        <v>1058</v>
      </c>
      <c r="E734" s="20" t="s">
        <v>291</v>
      </c>
      <c r="F734" s="6">
        <f>'пр.5.1.ведом.21-22'!G742</f>
        <v>3584</v>
      </c>
      <c r="G734" s="6">
        <f>'пр.5.1.ведом.21-22'!H742</f>
        <v>3584</v>
      </c>
    </row>
    <row r="735" spans="1:7" ht="31.5" x14ac:dyDescent="0.25">
      <c r="A735" s="31" t="s">
        <v>490</v>
      </c>
      <c r="B735" s="20" t="s">
        <v>280</v>
      </c>
      <c r="C735" s="20" t="s">
        <v>280</v>
      </c>
      <c r="D735" s="20" t="s">
        <v>1059</v>
      </c>
      <c r="E735" s="20"/>
      <c r="F735" s="6">
        <f>F736</f>
        <v>2220.9</v>
      </c>
      <c r="G735" s="6">
        <f>G736</f>
        <v>2220.9</v>
      </c>
    </row>
    <row r="736" spans="1:7" ht="47.25" x14ac:dyDescent="0.25">
      <c r="A736" s="25" t="s">
        <v>288</v>
      </c>
      <c r="B736" s="20" t="s">
        <v>280</v>
      </c>
      <c r="C736" s="20" t="s">
        <v>280</v>
      </c>
      <c r="D736" s="20" t="s">
        <v>1059</v>
      </c>
      <c r="E736" s="20" t="s">
        <v>289</v>
      </c>
      <c r="F736" s="6">
        <f>F737</f>
        <v>2220.9</v>
      </c>
      <c r="G736" s="6">
        <f>G737</f>
        <v>2220.9</v>
      </c>
    </row>
    <row r="737" spans="1:7" ht="15.75" x14ac:dyDescent="0.25">
      <c r="A737" s="25" t="s">
        <v>290</v>
      </c>
      <c r="B737" s="20" t="s">
        <v>280</v>
      </c>
      <c r="C737" s="20" t="s">
        <v>280</v>
      </c>
      <c r="D737" s="20" t="s">
        <v>1059</v>
      </c>
      <c r="E737" s="20" t="s">
        <v>291</v>
      </c>
      <c r="F737" s="6">
        <f>'пр.5.1.ведом.21-22'!G745</f>
        <v>2220.9</v>
      </c>
      <c r="G737" s="6">
        <f>'пр.5.1.ведом.21-22'!H745</f>
        <v>2220.9</v>
      </c>
    </row>
    <row r="738" spans="1:7" ht="15.75" x14ac:dyDescent="0.25">
      <c r="A738" s="23" t="s">
        <v>311</v>
      </c>
      <c r="B738" s="24" t="s">
        <v>280</v>
      </c>
      <c r="C738" s="24" t="s">
        <v>235</v>
      </c>
      <c r="D738" s="24"/>
      <c r="E738" s="24"/>
      <c r="F738" s="4">
        <f>F739+F749</f>
        <v>19830</v>
      </c>
      <c r="G738" s="4">
        <f>G739+G749</f>
        <v>19830</v>
      </c>
    </row>
    <row r="739" spans="1:7" ht="31.5" x14ac:dyDescent="0.25">
      <c r="A739" s="23" t="s">
        <v>990</v>
      </c>
      <c r="B739" s="24" t="s">
        <v>280</v>
      </c>
      <c r="C739" s="24" t="s">
        <v>235</v>
      </c>
      <c r="D739" s="24" t="s">
        <v>904</v>
      </c>
      <c r="E739" s="24"/>
      <c r="F739" s="4">
        <f>F740</f>
        <v>5585</v>
      </c>
      <c r="G739" s="4">
        <f>G740</f>
        <v>5585</v>
      </c>
    </row>
    <row r="740" spans="1:7" ht="15.75" x14ac:dyDescent="0.25">
      <c r="A740" s="23" t="s">
        <v>991</v>
      </c>
      <c r="B740" s="24" t="s">
        <v>280</v>
      </c>
      <c r="C740" s="24" t="s">
        <v>235</v>
      </c>
      <c r="D740" s="24" t="s">
        <v>905</v>
      </c>
      <c r="E740" s="24"/>
      <c r="F740" s="4">
        <f>F741+F746</f>
        <v>5585</v>
      </c>
      <c r="G740" s="4">
        <f>G741+G746</f>
        <v>5585</v>
      </c>
    </row>
    <row r="741" spans="1:7" ht="31.5" x14ac:dyDescent="0.25">
      <c r="A741" s="25" t="s">
        <v>967</v>
      </c>
      <c r="B741" s="20" t="s">
        <v>280</v>
      </c>
      <c r="C741" s="20" t="s">
        <v>235</v>
      </c>
      <c r="D741" s="20" t="s">
        <v>906</v>
      </c>
      <c r="E741" s="20"/>
      <c r="F741" s="6">
        <f>F742+F744</f>
        <v>5459</v>
      </c>
      <c r="G741" s="6">
        <f>G742+G744</f>
        <v>5459</v>
      </c>
    </row>
    <row r="742" spans="1:7" ht="94.5" x14ac:dyDescent="0.25">
      <c r="A742" s="25" t="s">
        <v>143</v>
      </c>
      <c r="B742" s="20" t="s">
        <v>280</v>
      </c>
      <c r="C742" s="20" t="s">
        <v>235</v>
      </c>
      <c r="D742" s="20" t="s">
        <v>906</v>
      </c>
      <c r="E742" s="20" t="s">
        <v>144</v>
      </c>
      <c r="F742" s="6">
        <f>F743</f>
        <v>5247</v>
      </c>
      <c r="G742" s="6">
        <f>G743</f>
        <v>5247</v>
      </c>
    </row>
    <row r="743" spans="1:7" ht="47.25" x14ac:dyDescent="0.25">
      <c r="A743" s="25" t="s">
        <v>145</v>
      </c>
      <c r="B743" s="20" t="s">
        <v>280</v>
      </c>
      <c r="C743" s="20" t="s">
        <v>235</v>
      </c>
      <c r="D743" s="20" t="s">
        <v>906</v>
      </c>
      <c r="E743" s="20" t="s">
        <v>146</v>
      </c>
      <c r="F743" s="6">
        <f>'пр.5.1.ведом.21-22'!G751</f>
        <v>5247</v>
      </c>
      <c r="G743" s="6">
        <f>'пр.5.1.ведом.21-22'!H751</f>
        <v>5247</v>
      </c>
    </row>
    <row r="744" spans="1:7" ht="31.5" x14ac:dyDescent="0.25">
      <c r="A744" s="25" t="s">
        <v>147</v>
      </c>
      <c r="B744" s="20" t="s">
        <v>280</v>
      </c>
      <c r="C744" s="20" t="s">
        <v>235</v>
      </c>
      <c r="D744" s="20" t="s">
        <v>906</v>
      </c>
      <c r="E744" s="20" t="s">
        <v>148</v>
      </c>
      <c r="F744" s="6">
        <f>F745</f>
        <v>212</v>
      </c>
      <c r="G744" s="6">
        <f>G745</f>
        <v>212</v>
      </c>
    </row>
    <row r="745" spans="1:7" ht="47.25" x14ac:dyDescent="0.25">
      <c r="A745" s="25" t="s">
        <v>149</v>
      </c>
      <c r="B745" s="20" t="s">
        <v>280</v>
      </c>
      <c r="C745" s="20" t="s">
        <v>235</v>
      </c>
      <c r="D745" s="20" t="s">
        <v>906</v>
      </c>
      <c r="E745" s="20" t="s">
        <v>150</v>
      </c>
      <c r="F745" s="6">
        <f>'пр.5.1.ведом.21-22'!G753</f>
        <v>212</v>
      </c>
      <c r="G745" s="6">
        <f>'пр.5.1.ведом.21-22'!H753</f>
        <v>212</v>
      </c>
    </row>
    <row r="746" spans="1:7" ht="47.25" x14ac:dyDescent="0.25">
      <c r="A746" s="25" t="s">
        <v>885</v>
      </c>
      <c r="B746" s="20" t="s">
        <v>280</v>
      </c>
      <c r="C746" s="20" t="s">
        <v>235</v>
      </c>
      <c r="D746" s="20" t="s">
        <v>908</v>
      </c>
      <c r="E746" s="20"/>
      <c r="F746" s="6">
        <f>F747</f>
        <v>126</v>
      </c>
      <c r="G746" s="6">
        <f>G747</f>
        <v>126</v>
      </c>
    </row>
    <row r="747" spans="1:7" ht="94.5" x14ac:dyDescent="0.25">
      <c r="A747" s="25" t="s">
        <v>143</v>
      </c>
      <c r="B747" s="20" t="s">
        <v>280</v>
      </c>
      <c r="C747" s="20" t="s">
        <v>235</v>
      </c>
      <c r="D747" s="20" t="s">
        <v>908</v>
      </c>
      <c r="E747" s="20" t="s">
        <v>144</v>
      </c>
      <c r="F747" s="6">
        <f>F748</f>
        <v>126</v>
      </c>
      <c r="G747" s="6">
        <f>G748</f>
        <v>126</v>
      </c>
    </row>
    <row r="748" spans="1:7" ht="47.25" x14ac:dyDescent="0.25">
      <c r="A748" s="25" t="s">
        <v>145</v>
      </c>
      <c r="B748" s="20" t="s">
        <v>280</v>
      </c>
      <c r="C748" s="20" t="s">
        <v>235</v>
      </c>
      <c r="D748" s="20" t="s">
        <v>908</v>
      </c>
      <c r="E748" s="20" t="s">
        <v>146</v>
      </c>
      <c r="F748" s="6">
        <f>'пр.5.1.ведом.21-22'!G756</f>
        <v>126</v>
      </c>
      <c r="G748" s="6">
        <f>'пр.5.1.ведом.21-22'!H756</f>
        <v>126</v>
      </c>
    </row>
    <row r="749" spans="1:7" ht="15.75" x14ac:dyDescent="0.25">
      <c r="A749" s="23" t="s">
        <v>157</v>
      </c>
      <c r="B749" s="24" t="s">
        <v>280</v>
      </c>
      <c r="C749" s="24" t="s">
        <v>235</v>
      </c>
      <c r="D749" s="24" t="s">
        <v>912</v>
      </c>
      <c r="E749" s="24"/>
      <c r="F749" s="4">
        <f>F750+F754</f>
        <v>14245</v>
      </c>
      <c r="G749" s="4">
        <f>G750+G754</f>
        <v>14245</v>
      </c>
    </row>
    <row r="750" spans="1:7" ht="31.5" x14ac:dyDescent="0.25">
      <c r="A750" s="23" t="s">
        <v>916</v>
      </c>
      <c r="B750" s="24" t="s">
        <v>280</v>
      </c>
      <c r="C750" s="24" t="s">
        <v>235</v>
      </c>
      <c r="D750" s="24" t="s">
        <v>911</v>
      </c>
      <c r="E750" s="24"/>
      <c r="F750" s="4">
        <f t="shared" ref="F750:G752" si="49">F751</f>
        <v>300</v>
      </c>
      <c r="G750" s="4">
        <f t="shared" si="49"/>
        <v>300</v>
      </c>
    </row>
    <row r="751" spans="1:7" ht="31.5" x14ac:dyDescent="0.25">
      <c r="A751" s="25" t="s">
        <v>494</v>
      </c>
      <c r="B751" s="20" t="s">
        <v>280</v>
      </c>
      <c r="C751" s="20" t="s">
        <v>235</v>
      </c>
      <c r="D751" s="20" t="s">
        <v>1060</v>
      </c>
      <c r="E751" s="20"/>
      <c r="F751" s="6">
        <f t="shared" si="49"/>
        <v>300</v>
      </c>
      <c r="G751" s="6">
        <f t="shared" si="49"/>
        <v>300</v>
      </c>
    </row>
    <row r="752" spans="1:7" ht="31.5" x14ac:dyDescent="0.25">
      <c r="A752" s="25" t="s">
        <v>147</v>
      </c>
      <c r="B752" s="20" t="s">
        <v>280</v>
      </c>
      <c r="C752" s="20" t="s">
        <v>235</v>
      </c>
      <c r="D752" s="20" t="s">
        <v>1060</v>
      </c>
      <c r="E752" s="20" t="s">
        <v>148</v>
      </c>
      <c r="F752" s="6">
        <f t="shared" si="49"/>
        <v>300</v>
      </c>
      <c r="G752" s="6">
        <f t="shared" si="49"/>
        <v>300</v>
      </c>
    </row>
    <row r="753" spans="1:7" ht="47.25" x14ac:dyDescent="0.25">
      <c r="A753" s="25" t="s">
        <v>149</v>
      </c>
      <c r="B753" s="20" t="s">
        <v>280</v>
      </c>
      <c r="C753" s="20" t="s">
        <v>235</v>
      </c>
      <c r="D753" s="20" t="s">
        <v>1060</v>
      </c>
      <c r="E753" s="20" t="s">
        <v>150</v>
      </c>
      <c r="F753" s="6">
        <f>'пр.5.1.ведом.21-22'!G761</f>
        <v>300</v>
      </c>
      <c r="G753" s="6">
        <f>'пр.5.1.ведом.21-22'!H761</f>
        <v>300</v>
      </c>
    </row>
    <row r="754" spans="1:7" ht="47.25" x14ac:dyDescent="0.25">
      <c r="A754" s="23" t="s">
        <v>1002</v>
      </c>
      <c r="B754" s="24" t="s">
        <v>280</v>
      </c>
      <c r="C754" s="24" t="s">
        <v>235</v>
      </c>
      <c r="D754" s="24" t="s">
        <v>987</v>
      </c>
      <c r="E754" s="24"/>
      <c r="F754" s="4">
        <f>F755+F762</f>
        <v>13945</v>
      </c>
      <c r="G754" s="4">
        <f>G755+G762</f>
        <v>13945</v>
      </c>
    </row>
    <row r="755" spans="1:7" ht="31.5" x14ac:dyDescent="0.25">
      <c r="A755" s="25" t="s">
        <v>974</v>
      </c>
      <c r="B755" s="20" t="s">
        <v>280</v>
      </c>
      <c r="C755" s="20" t="s">
        <v>235</v>
      </c>
      <c r="D755" s="20" t="s">
        <v>988</v>
      </c>
      <c r="E755" s="20"/>
      <c r="F755" s="6">
        <f>F756+F758+F760</f>
        <v>13609</v>
      </c>
      <c r="G755" s="6">
        <f>G756+G758+G760</f>
        <v>13609</v>
      </c>
    </row>
    <row r="756" spans="1:7" ht="94.5" x14ac:dyDescent="0.25">
      <c r="A756" s="25" t="s">
        <v>143</v>
      </c>
      <c r="B756" s="20" t="s">
        <v>280</v>
      </c>
      <c r="C756" s="20" t="s">
        <v>235</v>
      </c>
      <c r="D756" s="20" t="s">
        <v>988</v>
      </c>
      <c r="E756" s="20" t="s">
        <v>144</v>
      </c>
      <c r="F756" s="6">
        <f>F757</f>
        <v>12517</v>
      </c>
      <c r="G756" s="6">
        <f>G757</f>
        <v>12517</v>
      </c>
    </row>
    <row r="757" spans="1:7" ht="31.5" x14ac:dyDescent="0.25">
      <c r="A757" s="25" t="s">
        <v>358</v>
      </c>
      <c r="B757" s="20" t="s">
        <v>280</v>
      </c>
      <c r="C757" s="20" t="s">
        <v>235</v>
      </c>
      <c r="D757" s="20" t="s">
        <v>988</v>
      </c>
      <c r="E757" s="20" t="s">
        <v>225</v>
      </c>
      <c r="F757" s="6">
        <f>'пр.5.1.ведом.21-22'!G765</f>
        <v>12517</v>
      </c>
      <c r="G757" s="6">
        <f>'пр.5.1.ведом.21-22'!H765</f>
        <v>12517</v>
      </c>
    </row>
    <row r="758" spans="1:7" ht="31.5" x14ac:dyDescent="0.25">
      <c r="A758" s="25" t="s">
        <v>147</v>
      </c>
      <c r="B758" s="20" t="s">
        <v>280</v>
      </c>
      <c r="C758" s="20" t="s">
        <v>235</v>
      </c>
      <c r="D758" s="20" t="s">
        <v>988</v>
      </c>
      <c r="E758" s="20" t="s">
        <v>148</v>
      </c>
      <c r="F758" s="6">
        <f>F759</f>
        <v>1077</v>
      </c>
      <c r="G758" s="6">
        <f>G759</f>
        <v>1077</v>
      </c>
    </row>
    <row r="759" spans="1:7" ht="47.25" x14ac:dyDescent="0.25">
      <c r="A759" s="25" t="s">
        <v>149</v>
      </c>
      <c r="B759" s="20" t="s">
        <v>280</v>
      </c>
      <c r="C759" s="20" t="s">
        <v>235</v>
      </c>
      <c r="D759" s="20" t="s">
        <v>988</v>
      </c>
      <c r="E759" s="20" t="s">
        <v>150</v>
      </c>
      <c r="F759" s="6">
        <f>'пр.5.1.ведом.21-22'!G767</f>
        <v>1077</v>
      </c>
      <c r="G759" s="6">
        <f>'пр.5.1.ведом.21-22'!H767</f>
        <v>1077</v>
      </c>
    </row>
    <row r="760" spans="1:7" ht="15.75" x14ac:dyDescent="0.25">
      <c r="A760" s="25" t="s">
        <v>151</v>
      </c>
      <c r="B760" s="20" t="s">
        <v>280</v>
      </c>
      <c r="C760" s="20" t="s">
        <v>235</v>
      </c>
      <c r="D760" s="20" t="s">
        <v>988</v>
      </c>
      <c r="E760" s="20" t="s">
        <v>161</v>
      </c>
      <c r="F760" s="6">
        <f>F761</f>
        <v>15</v>
      </c>
      <c r="G760" s="6">
        <f>G761</f>
        <v>15</v>
      </c>
    </row>
    <row r="761" spans="1:7" ht="31.5" x14ac:dyDescent="0.25">
      <c r="A761" s="25" t="s">
        <v>584</v>
      </c>
      <c r="B761" s="20" t="s">
        <v>280</v>
      </c>
      <c r="C761" s="20" t="s">
        <v>235</v>
      </c>
      <c r="D761" s="20" t="s">
        <v>988</v>
      </c>
      <c r="E761" s="20" t="s">
        <v>154</v>
      </c>
      <c r="F761" s="6">
        <f>'пр.5.1.ведом.21-22'!G769</f>
        <v>15</v>
      </c>
      <c r="G761" s="6">
        <f>'пр.5.1.ведом.21-22'!H769</f>
        <v>15</v>
      </c>
    </row>
    <row r="762" spans="1:7" ht="47.25" x14ac:dyDescent="0.25">
      <c r="A762" s="25" t="s">
        <v>885</v>
      </c>
      <c r="B762" s="20" t="s">
        <v>280</v>
      </c>
      <c r="C762" s="20" t="s">
        <v>235</v>
      </c>
      <c r="D762" s="20" t="s">
        <v>989</v>
      </c>
      <c r="E762" s="20"/>
      <c r="F762" s="6">
        <f>F763</f>
        <v>336</v>
      </c>
      <c r="G762" s="6">
        <f>G763</f>
        <v>336</v>
      </c>
    </row>
    <row r="763" spans="1:7" ht="94.5" x14ac:dyDescent="0.25">
      <c r="A763" s="25" t="s">
        <v>143</v>
      </c>
      <c r="B763" s="20" t="s">
        <v>280</v>
      </c>
      <c r="C763" s="20" t="s">
        <v>235</v>
      </c>
      <c r="D763" s="20" t="s">
        <v>989</v>
      </c>
      <c r="E763" s="20" t="s">
        <v>144</v>
      </c>
      <c r="F763" s="6">
        <f>F764</f>
        <v>336</v>
      </c>
      <c r="G763" s="6">
        <f>G764</f>
        <v>336</v>
      </c>
    </row>
    <row r="764" spans="1:7" ht="47.25" x14ac:dyDescent="0.25">
      <c r="A764" s="25" t="s">
        <v>145</v>
      </c>
      <c r="B764" s="20" t="s">
        <v>280</v>
      </c>
      <c r="C764" s="20" t="s">
        <v>235</v>
      </c>
      <c r="D764" s="20" t="s">
        <v>989</v>
      </c>
      <c r="E764" s="20" t="s">
        <v>146</v>
      </c>
      <c r="F764" s="6">
        <f>'пр.5.1.ведом.21-22'!G772</f>
        <v>336</v>
      </c>
      <c r="G764" s="6">
        <f>'пр.5.1.ведом.21-22'!H772</f>
        <v>336</v>
      </c>
    </row>
    <row r="765" spans="1:7" ht="15.75" x14ac:dyDescent="0.25">
      <c r="A765" s="41" t="s">
        <v>314</v>
      </c>
      <c r="B765" s="7" t="s">
        <v>315</v>
      </c>
      <c r="C765" s="7"/>
      <c r="D765" s="7"/>
      <c r="E765" s="7"/>
      <c r="F765" s="4">
        <f>F766+F839</f>
        <v>70268.512000000002</v>
      </c>
      <c r="G765" s="4">
        <f>G766+G839</f>
        <v>67994.2</v>
      </c>
    </row>
    <row r="766" spans="1:7" ht="15.75" x14ac:dyDescent="0.25">
      <c r="A766" s="41" t="s">
        <v>316</v>
      </c>
      <c r="B766" s="7" t="s">
        <v>315</v>
      </c>
      <c r="C766" s="7" t="s">
        <v>134</v>
      </c>
      <c r="D766" s="7"/>
      <c r="E766" s="7"/>
      <c r="F766" s="4">
        <f>F767+F829+F834</f>
        <v>52929.512000000002</v>
      </c>
      <c r="G766" s="4">
        <f>G767+G829+G834</f>
        <v>50655.199999999997</v>
      </c>
    </row>
    <row r="767" spans="1:7" ht="47.25" x14ac:dyDescent="0.25">
      <c r="A767" s="23" t="s">
        <v>1426</v>
      </c>
      <c r="B767" s="24" t="s">
        <v>315</v>
      </c>
      <c r="C767" s="24" t="s">
        <v>134</v>
      </c>
      <c r="D767" s="24" t="s">
        <v>283</v>
      </c>
      <c r="E767" s="24"/>
      <c r="F767" s="4">
        <f>F768+F795</f>
        <v>52136.312000000005</v>
      </c>
      <c r="G767" s="4">
        <f>G768+G795</f>
        <v>49862</v>
      </c>
    </row>
    <row r="768" spans="1:7" ht="63" x14ac:dyDescent="0.25">
      <c r="A768" s="23" t="s">
        <v>1446</v>
      </c>
      <c r="B768" s="24" t="s">
        <v>315</v>
      </c>
      <c r="C768" s="24" t="s">
        <v>134</v>
      </c>
      <c r="D768" s="24" t="s">
        <v>318</v>
      </c>
      <c r="E768" s="24"/>
      <c r="F768" s="4">
        <f>F769+F777+F783+F787+F791</f>
        <v>27742.858</v>
      </c>
      <c r="G768" s="4">
        <f>G769+G777+G783+G787+G791</f>
        <v>25446.3</v>
      </c>
    </row>
    <row r="769" spans="1:7" ht="47.25" x14ac:dyDescent="0.25">
      <c r="A769" s="23" t="s">
        <v>956</v>
      </c>
      <c r="B769" s="24" t="s">
        <v>315</v>
      </c>
      <c r="C769" s="24" t="s">
        <v>134</v>
      </c>
      <c r="D769" s="24" t="s">
        <v>957</v>
      </c>
      <c r="E769" s="24"/>
      <c r="F769" s="4">
        <f>F770</f>
        <v>23784</v>
      </c>
      <c r="G769" s="4">
        <f>G770</f>
        <v>23784</v>
      </c>
    </row>
    <row r="770" spans="1:7" ht="31.5" x14ac:dyDescent="0.25">
      <c r="A770" s="25" t="s">
        <v>832</v>
      </c>
      <c r="B770" s="20" t="s">
        <v>315</v>
      </c>
      <c r="C770" s="20" t="s">
        <v>134</v>
      </c>
      <c r="D770" s="20" t="s">
        <v>955</v>
      </c>
      <c r="E770" s="20"/>
      <c r="F770" s="6">
        <f>F771+F773+F775</f>
        <v>23784</v>
      </c>
      <c r="G770" s="6">
        <f>G771+G773+G775</f>
        <v>23784</v>
      </c>
    </row>
    <row r="771" spans="1:7" ht="94.5" x14ac:dyDescent="0.25">
      <c r="A771" s="25" t="s">
        <v>143</v>
      </c>
      <c r="B771" s="20" t="s">
        <v>315</v>
      </c>
      <c r="C771" s="20" t="s">
        <v>134</v>
      </c>
      <c r="D771" s="20" t="s">
        <v>955</v>
      </c>
      <c r="E771" s="20" t="s">
        <v>144</v>
      </c>
      <c r="F771" s="6">
        <f>F772</f>
        <v>20032</v>
      </c>
      <c r="G771" s="6">
        <f>G772</f>
        <v>20032</v>
      </c>
    </row>
    <row r="772" spans="1:7" ht="31.5" x14ac:dyDescent="0.25">
      <c r="A772" s="25" t="s">
        <v>224</v>
      </c>
      <c r="B772" s="20" t="s">
        <v>315</v>
      </c>
      <c r="C772" s="20" t="s">
        <v>134</v>
      </c>
      <c r="D772" s="20" t="s">
        <v>955</v>
      </c>
      <c r="E772" s="20" t="s">
        <v>225</v>
      </c>
      <c r="F772" s="6">
        <f>'пр.5.1.ведом.21-22'!G348</f>
        <v>20032</v>
      </c>
      <c r="G772" s="6">
        <f>'пр.5.1.ведом.21-22'!H348</f>
        <v>20032</v>
      </c>
    </row>
    <row r="773" spans="1:7" ht="31.5" x14ac:dyDescent="0.25">
      <c r="A773" s="25" t="s">
        <v>147</v>
      </c>
      <c r="B773" s="20" t="s">
        <v>315</v>
      </c>
      <c r="C773" s="20" t="s">
        <v>134</v>
      </c>
      <c r="D773" s="20" t="s">
        <v>955</v>
      </c>
      <c r="E773" s="20" t="s">
        <v>148</v>
      </c>
      <c r="F773" s="6">
        <f>F774</f>
        <v>3715</v>
      </c>
      <c r="G773" s="6">
        <f>G774</f>
        <v>3715</v>
      </c>
    </row>
    <row r="774" spans="1:7" ht="47.25" x14ac:dyDescent="0.25">
      <c r="A774" s="25" t="s">
        <v>149</v>
      </c>
      <c r="B774" s="20" t="s">
        <v>315</v>
      </c>
      <c r="C774" s="20" t="s">
        <v>134</v>
      </c>
      <c r="D774" s="20" t="s">
        <v>955</v>
      </c>
      <c r="E774" s="20" t="s">
        <v>150</v>
      </c>
      <c r="F774" s="6">
        <f>'пр.5.1.ведом.21-22'!G350</f>
        <v>3715</v>
      </c>
      <c r="G774" s="6">
        <f>'пр.5.1.ведом.21-22'!H350</f>
        <v>3715</v>
      </c>
    </row>
    <row r="775" spans="1:7" ht="15.75" x14ac:dyDescent="0.25">
      <c r="A775" s="25" t="s">
        <v>151</v>
      </c>
      <c r="B775" s="20" t="s">
        <v>315</v>
      </c>
      <c r="C775" s="20" t="s">
        <v>134</v>
      </c>
      <c r="D775" s="20" t="s">
        <v>955</v>
      </c>
      <c r="E775" s="20" t="s">
        <v>161</v>
      </c>
      <c r="F775" s="6">
        <f>F776</f>
        <v>37</v>
      </c>
      <c r="G775" s="6">
        <f>G776</f>
        <v>37</v>
      </c>
    </row>
    <row r="776" spans="1:7" ht="31.5" x14ac:dyDescent="0.25">
      <c r="A776" s="25" t="s">
        <v>584</v>
      </c>
      <c r="B776" s="20" t="s">
        <v>315</v>
      </c>
      <c r="C776" s="20" t="s">
        <v>134</v>
      </c>
      <c r="D776" s="20" t="s">
        <v>955</v>
      </c>
      <c r="E776" s="20" t="s">
        <v>154</v>
      </c>
      <c r="F776" s="6">
        <f>'пр.5.1.ведом.21-22'!G352</f>
        <v>37</v>
      </c>
      <c r="G776" s="6">
        <f>'пр.5.1.ведом.21-22'!H352</f>
        <v>37</v>
      </c>
    </row>
    <row r="777" spans="1:7" ht="47.25" x14ac:dyDescent="0.25">
      <c r="A777" s="229" t="s">
        <v>970</v>
      </c>
      <c r="B777" s="24" t="s">
        <v>315</v>
      </c>
      <c r="C777" s="24" t="s">
        <v>134</v>
      </c>
      <c r="D777" s="24" t="s">
        <v>958</v>
      </c>
      <c r="E777" s="24"/>
      <c r="F777" s="4">
        <f>F778</f>
        <v>250</v>
      </c>
      <c r="G777" s="4">
        <f>G778</f>
        <v>250</v>
      </c>
    </row>
    <row r="778" spans="1:7" ht="47.25" x14ac:dyDescent="0.25">
      <c r="A778" s="31" t="s">
        <v>860</v>
      </c>
      <c r="B778" s="20" t="s">
        <v>315</v>
      </c>
      <c r="C778" s="20" t="s">
        <v>134</v>
      </c>
      <c r="D778" s="20" t="s">
        <v>959</v>
      </c>
      <c r="E778" s="20"/>
      <c r="F778" s="6">
        <f>F781</f>
        <v>250</v>
      </c>
      <c r="G778" s="6">
        <f>G781</f>
        <v>250</v>
      </c>
    </row>
    <row r="779" spans="1:7" ht="94.5" hidden="1" x14ac:dyDescent="0.25">
      <c r="A779" s="25" t="s">
        <v>143</v>
      </c>
      <c r="B779" s="20" t="s">
        <v>315</v>
      </c>
      <c r="C779" s="20" t="s">
        <v>134</v>
      </c>
      <c r="D779" s="20" t="s">
        <v>959</v>
      </c>
      <c r="E779" s="20" t="s">
        <v>144</v>
      </c>
      <c r="F779" s="6">
        <f>'Пр.3 Рд,пр, ЦС,ВР 20'!F813</f>
        <v>455.4</v>
      </c>
      <c r="G779" s="6">
        <f>'Пр.3 Рд,пр, ЦС,ВР 20'!G813</f>
        <v>26.7</v>
      </c>
    </row>
    <row r="780" spans="1:7" ht="31.5" hidden="1" x14ac:dyDescent="0.25">
      <c r="A780" s="25" t="s">
        <v>224</v>
      </c>
      <c r="B780" s="20" t="s">
        <v>315</v>
      </c>
      <c r="C780" s="20" t="s">
        <v>134</v>
      </c>
      <c r="D780" s="20" t="s">
        <v>959</v>
      </c>
      <c r="E780" s="20" t="s">
        <v>225</v>
      </c>
      <c r="F780" s="6">
        <f>'Пр.3 Рд,пр, ЦС,ВР 20'!F814</f>
        <v>455.4</v>
      </c>
      <c r="G780" s="6">
        <f>'Пр.3 Рд,пр, ЦС,ВР 20'!G814</f>
        <v>26.7</v>
      </c>
    </row>
    <row r="781" spans="1:7" ht="31.5" x14ac:dyDescent="0.25">
      <c r="A781" s="25" t="s">
        <v>147</v>
      </c>
      <c r="B781" s="20" t="s">
        <v>315</v>
      </c>
      <c r="C781" s="20" t="s">
        <v>134</v>
      </c>
      <c r="D781" s="20" t="s">
        <v>959</v>
      </c>
      <c r="E781" s="20" t="s">
        <v>148</v>
      </c>
      <c r="F781" s="6">
        <f>F782</f>
        <v>250</v>
      </c>
      <c r="G781" s="6">
        <f>G782</f>
        <v>250</v>
      </c>
    </row>
    <row r="782" spans="1:7" ht="47.25" x14ac:dyDescent="0.25">
      <c r="A782" s="25" t="s">
        <v>149</v>
      </c>
      <c r="B782" s="20" t="s">
        <v>315</v>
      </c>
      <c r="C782" s="20" t="s">
        <v>134</v>
      </c>
      <c r="D782" s="20" t="s">
        <v>959</v>
      </c>
      <c r="E782" s="20" t="s">
        <v>150</v>
      </c>
      <c r="F782" s="6">
        <f>'пр.5.1.ведом.21-22'!G358</f>
        <v>250</v>
      </c>
      <c r="G782" s="6">
        <f>'пр.5.1.ведом.21-22'!H358</f>
        <v>250</v>
      </c>
    </row>
    <row r="783" spans="1:7" ht="47.25" x14ac:dyDescent="0.25">
      <c r="A783" s="23" t="s">
        <v>1076</v>
      </c>
      <c r="B783" s="24" t="s">
        <v>315</v>
      </c>
      <c r="C783" s="24" t="s">
        <v>134</v>
      </c>
      <c r="D783" s="24" t="s">
        <v>1164</v>
      </c>
      <c r="E783" s="24"/>
      <c r="F783" s="4">
        <f t="shared" ref="F783:G785" si="50">F784</f>
        <v>588</v>
      </c>
      <c r="G783" s="4">
        <f t="shared" si="50"/>
        <v>588</v>
      </c>
    </row>
    <row r="784" spans="1:7" ht="47.25" x14ac:dyDescent="0.25">
      <c r="A784" s="25" t="s">
        <v>885</v>
      </c>
      <c r="B784" s="20" t="s">
        <v>315</v>
      </c>
      <c r="C784" s="20" t="s">
        <v>134</v>
      </c>
      <c r="D784" s="20" t="s">
        <v>1165</v>
      </c>
      <c r="E784" s="20"/>
      <c r="F784" s="6">
        <f t="shared" si="50"/>
        <v>588</v>
      </c>
      <c r="G784" s="6">
        <f t="shared" si="50"/>
        <v>588</v>
      </c>
    </row>
    <row r="785" spans="1:7" ht="94.5" x14ac:dyDescent="0.25">
      <c r="A785" s="25" t="s">
        <v>143</v>
      </c>
      <c r="B785" s="20" t="s">
        <v>315</v>
      </c>
      <c r="C785" s="20" t="s">
        <v>134</v>
      </c>
      <c r="D785" s="20" t="s">
        <v>1165</v>
      </c>
      <c r="E785" s="20" t="s">
        <v>144</v>
      </c>
      <c r="F785" s="6">
        <f t="shared" si="50"/>
        <v>588</v>
      </c>
      <c r="G785" s="6">
        <f t="shared" si="50"/>
        <v>588</v>
      </c>
    </row>
    <row r="786" spans="1:7" ht="47.25" x14ac:dyDescent="0.25">
      <c r="A786" s="25" t="s">
        <v>145</v>
      </c>
      <c r="B786" s="20" t="s">
        <v>315</v>
      </c>
      <c r="C786" s="20" t="s">
        <v>134</v>
      </c>
      <c r="D786" s="20" t="s">
        <v>1165</v>
      </c>
      <c r="E786" s="20" t="s">
        <v>225</v>
      </c>
      <c r="F786" s="6">
        <f>'пр.5.1.ведом.21-22'!G362</f>
        <v>588</v>
      </c>
      <c r="G786" s="6">
        <f>'пр.5.1.ведом.21-22'!H362</f>
        <v>588</v>
      </c>
    </row>
    <row r="787" spans="1:7" ht="50.25" customHeight="1" x14ac:dyDescent="0.25">
      <c r="A787" s="230" t="s">
        <v>971</v>
      </c>
      <c r="B787" s="24" t="s">
        <v>315</v>
      </c>
      <c r="C787" s="24" t="s">
        <v>134</v>
      </c>
      <c r="D787" s="24" t="s">
        <v>1166</v>
      </c>
      <c r="E787" s="24"/>
      <c r="F787" s="4">
        <f t="shared" ref="F787:G789" si="51">F788</f>
        <v>824.3</v>
      </c>
      <c r="G787" s="4">
        <f t="shared" si="51"/>
        <v>824.3</v>
      </c>
    </row>
    <row r="788" spans="1:7" ht="126" x14ac:dyDescent="0.25">
      <c r="A788" s="31" t="s">
        <v>309</v>
      </c>
      <c r="B788" s="20" t="s">
        <v>315</v>
      </c>
      <c r="C788" s="20" t="s">
        <v>134</v>
      </c>
      <c r="D788" s="20" t="s">
        <v>1523</v>
      </c>
      <c r="E788" s="20"/>
      <c r="F788" s="6">
        <f t="shared" si="51"/>
        <v>824.3</v>
      </c>
      <c r="G788" s="6">
        <f t="shared" si="51"/>
        <v>824.3</v>
      </c>
    </row>
    <row r="789" spans="1:7" ht="94.5" x14ac:dyDescent="0.25">
      <c r="A789" s="25" t="s">
        <v>143</v>
      </c>
      <c r="B789" s="20" t="s">
        <v>315</v>
      </c>
      <c r="C789" s="20" t="s">
        <v>134</v>
      </c>
      <c r="D789" s="338" t="s">
        <v>1523</v>
      </c>
      <c r="E789" s="20" t="s">
        <v>144</v>
      </c>
      <c r="F789" s="6">
        <f t="shared" si="51"/>
        <v>824.3</v>
      </c>
      <c r="G789" s="6">
        <f t="shared" si="51"/>
        <v>824.3</v>
      </c>
    </row>
    <row r="790" spans="1:7" ht="31.5" x14ac:dyDescent="0.25">
      <c r="A790" s="25" t="s">
        <v>224</v>
      </c>
      <c r="B790" s="20" t="s">
        <v>315</v>
      </c>
      <c r="C790" s="20" t="s">
        <v>134</v>
      </c>
      <c r="D790" s="338" t="s">
        <v>1523</v>
      </c>
      <c r="E790" s="20" t="s">
        <v>225</v>
      </c>
      <c r="F790" s="6">
        <f>'пр.5.1.ведом.21-22'!G366</f>
        <v>824.3</v>
      </c>
      <c r="G790" s="6">
        <f>'пр.5.1.ведом.21-22'!H366</f>
        <v>824.3</v>
      </c>
    </row>
    <row r="791" spans="1:7" s="217" customFormat="1" ht="47.25" x14ac:dyDescent="0.25">
      <c r="A791" s="279" t="s">
        <v>1444</v>
      </c>
      <c r="B791" s="24" t="s">
        <v>315</v>
      </c>
      <c r="C791" s="24" t="s">
        <v>134</v>
      </c>
      <c r="D791" s="24" t="s">
        <v>1443</v>
      </c>
      <c r="E791" s="24"/>
      <c r="F791" s="21">
        <f t="shared" ref="F791:G791" si="52">F792</f>
        <v>2296.558</v>
      </c>
      <c r="G791" s="21">
        <f t="shared" si="52"/>
        <v>0</v>
      </c>
    </row>
    <row r="792" spans="1:7" s="217" customFormat="1" ht="63" x14ac:dyDescent="0.25">
      <c r="A792" s="280" t="s">
        <v>1406</v>
      </c>
      <c r="B792" s="20" t="s">
        <v>315</v>
      </c>
      <c r="C792" s="20" t="s">
        <v>134</v>
      </c>
      <c r="D792" s="20" t="s">
        <v>1442</v>
      </c>
      <c r="E792" s="20"/>
      <c r="F792" s="26">
        <f>F793</f>
        <v>2296.558</v>
      </c>
      <c r="G792" s="26">
        <f>G793</f>
        <v>0</v>
      </c>
    </row>
    <row r="793" spans="1:7" s="217" customFormat="1" ht="31.5" x14ac:dyDescent="0.25">
      <c r="A793" s="25" t="s">
        <v>147</v>
      </c>
      <c r="B793" s="20" t="s">
        <v>315</v>
      </c>
      <c r="C793" s="20" t="s">
        <v>134</v>
      </c>
      <c r="D793" s="20" t="s">
        <v>1442</v>
      </c>
      <c r="E793" s="20" t="s">
        <v>148</v>
      </c>
      <c r="F793" s="26">
        <f>F794</f>
        <v>2296.558</v>
      </c>
      <c r="G793" s="26">
        <f>G794</f>
        <v>0</v>
      </c>
    </row>
    <row r="794" spans="1:7" s="217" customFormat="1" ht="47.25" x14ac:dyDescent="0.25">
      <c r="A794" s="25" t="s">
        <v>149</v>
      </c>
      <c r="B794" s="20" t="s">
        <v>315</v>
      </c>
      <c r="C794" s="20" t="s">
        <v>134</v>
      </c>
      <c r="D794" s="20" t="s">
        <v>1442</v>
      </c>
      <c r="E794" s="20" t="s">
        <v>150</v>
      </c>
      <c r="F794" s="26">
        <f>'пр.5.1.ведом.21-22'!G370</f>
        <v>2296.558</v>
      </c>
      <c r="G794" s="26">
        <f>'пр.5.1.ведом.21-22'!H370</f>
        <v>0</v>
      </c>
    </row>
    <row r="795" spans="1:7" ht="47.25" x14ac:dyDescent="0.25">
      <c r="A795" s="23" t="s">
        <v>1452</v>
      </c>
      <c r="B795" s="24" t="s">
        <v>315</v>
      </c>
      <c r="C795" s="24" t="s">
        <v>134</v>
      </c>
      <c r="D795" s="24" t="s">
        <v>329</v>
      </c>
      <c r="E795" s="24"/>
      <c r="F795" s="4">
        <f>F796+F804+F808+F812+F819</f>
        <v>24393.454000000002</v>
      </c>
      <c r="G795" s="4">
        <f>G796+G804+G808+G812+G819</f>
        <v>24415.7</v>
      </c>
    </row>
    <row r="796" spans="1:7" ht="47.25" x14ac:dyDescent="0.25">
      <c r="A796" s="23" t="s">
        <v>956</v>
      </c>
      <c r="B796" s="24" t="s">
        <v>315</v>
      </c>
      <c r="C796" s="24" t="s">
        <v>134</v>
      </c>
      <c r="D796" s="24" t="s">
        <v>960</v>
      </c>
      <c r="E796" s="24"/>
      <c r="F796" s="4">
        <f>F797</f>
        <v>22194</v>
      </c>
      <c r="G796" s="4">
        <f>G797</f>
        <v>22194</v>
      </c>
    </row>
    <row r="797" spans="1:7" ht="31.5" x14ac:dyDescent="0.25">
      <c r="A797" s="25" t="s">
        <v>832</v>
      </c>
      <c r="B797" s="20" t="s">
        <v>315</v>
      </c>
      <c r="C797" s="20" t="s">
        <v>134</v>
      </c>
      <c r="D797" s="20" t="s">
        <v>961</v>
      </c>
      <c r="E797" s="20"/>
      <c r="F797" s="6">
        <f>F798+F800+F802</f>
        <v>22194</v>
      </c>
      <c r="G797" s="6">
        <f>G798+G800+G802</f>
        <v>22194</v>
      </c>
    </row>
    <row r="798" spans="1:7" ht="94.5" x14ac:dyDescent="0.25">
      <c r="A798" s="25" t="s">
        <v>143</v>
      </c>
      <c r="B798" s="20" t="s">
        <v>315</v>
      </c>
      <c r="C798" s="20" t="s">
        <v>134</v>
      </c>
      <c r="D798" s="20" t="s">
        <v>961</v>
      </c>
      <c r="E798" s="20" t="s">
        <v>144</v>
      </c>
      <c r="F798" s="6">
        <f>F799</f>
        <v>19218</v>
      </c>
      <c r="G798" s="6">
        <f>G799</f>
        <v>19218</v>
      </c>
    </row>
    <row r="799" spans="1:7" ht="31.5" x14ac:dyDescent="0.25">
      <c r="A799" s="25" t="s">
        <v>224</v>
      </c>
      <c r="B799" s="20" t="s">
        <v>315</v>
      </c>
      <c r="C799" s="20" t="s">
        <v>134</v>
      </c>
      <c r="D799" s="20" t="s">
        <v>961</v>
      </c>
      <c r="E799" s="20" t="s">
        <v>225</v>
      </c>
      <c r="F799" s="6">
        <f>'пр.5.1.ведом.21-22'!G375</f>
        <v>19218</v>
      </c>
      <c r="G799" s="6">
        <f>'пр.5.1.ведом.21-22'!H375</f>
        <v>19218</v>
      </c>
    </row>
    <row r="800" spans="1:7" ht="31.5" x14ac:dyDescent="0.25">
      <c r="A800" s="25" t="s">
        <v>147</v>
      </c>
      <c r="B800" s="20" t="s">
        <v>315</v>
      </c>
      <c r="C800" s="20" t="s">
        <v>134</v>
      </c>
      <c r="D800" s="20" t="s">
        <v>961</v>
      </c>
      <c r="E800" s="20" t="s">
        <v>148</v>
      </c>
      <c r="F800" s="6">
        <f>F801</f>
        <v>2950</v>
      </c>
      <c r="G800" s="6">
        <f>G801</f>
        <v>2950</v>
      </c>
    </row>
    <row r="801" spans="1:7" ht="47.25" x14ac:dyDescent="0.25">
      <c r="A801" s="25" t="s">
        <v>149</v>
      </c>
      <c r="B801" s="20" t="s">
        <v>315</v>
      </c>
      <c r="C801" s="20" t="s">
        <v>134</v>
      </c>
      <c r="D801" s="20" t="s">
        <v>961</v>
      </c>
      <c r="E801" s="20" t="s">
        <v>150</v>
      </c>
      <c r="F801" s="6">
        <f>'пр.5.1.ведом.21-22'!G377</f>
        <v>2950</v>
      </c>
      <c r="G801" s="6">
        <f>'пр.5.1.ведом.21-22'!H377</f>
        <v>2950</v>
      </c>
    </row>
    <row r="802" spans="1:7" ht="15.75" x14ac:dyDescent="0.25">
      <c r="A802" s="25" t="s">
        <v>151</v>
      </c>
      <c r="B802" s="20" t="s">
        <v>315</v>
      </c>
      <c r="C802" s="20" t="s">
        <v>134</v>
      </c>
      <c r="D802" s="20" t="s">
        <v>961</v>
      </c>
      <c r="E802" s="20" t="s">
        <v>161</v>
      </c>
      <c r="F802" s="6">
        <f>F803</f>
        <v>26</v>
      </c>
      <c r="G802" s="6">
        <f>G803</f>
        <v>26</v>
      </c>
    </row>
    <row r="803" spans="1:7" ht="31.5" x14ac:dyDescent="0.25">
      <c r="A803" s="25" t="s">
        <v>584</v>
      </c>
      <c r="B803" s="20" t="s">
        <v>315</v>
      </c>
      <c r="C803" s="20" t="s">
        <v>134</v>
      </c>
      <c r="D803" s="20" t="s">
        <v>961</v>
      </c>
      <c r="E803" s="20" t="s">
        <v>154</v>
      </c>
      <c r="F803" s="6">
        <f>'пр.5.1.ведом.21-22'!G379</f>
        <v>26</v>
      </c>
      <c r="G803" s="6">
        <f>'пр.5.1.ведом.21-22'!H379</f>
        <v>26</v>
      </c>
    </row>
    <row r="804" spans="1:7" ht="47.25" x14ac:dyDescent="0.25">
      <c r="A804" s="23" t="s">
        <v>973</v>
      </c>
      <c r="B804" s="24" t="s">
        <v>315</v>
      </c>
      <c r="C804" s="24" t="s">
        <v>134</v>
      </c>
      <c r="D804" s="24" t="s">
        <v>962</v>
      </c>
      <c r="E804" s="24"/>
      <c r="F804" s="4">
        <f t="shared" ref="F804:G806" si="53">F805</f>
        <v>27.754000000000001</v>
      </c>
      <c r="G804" s="4">
        <f t="shared" si="53"/>
        <v>50</v>
      </c>
    </row>
    <row r="805" spans="1:7" ht="31.5" x14ac:dyDescent="0.25">
      <c r="A805" s="25" t="s">
        <v>866</v>
      </c>
      <c r="B805" s="20" t="s">
        <v>315</v>
      </c>
      <c r="C805" s="20" t="s">
        <v>134</v>
      </c>
      <c r="D805" s="20" t="s">
        <v>963</v>
      </c>
      <c r="E805" s="20"/>
      <c r="F805" s="6">
        <f t="shared" si="53"/>
        <v>27.754000000000001</v>
      </c>
      <c r="G805" s="6">
        <f t="shared" si="53"/>
        <v>50</v>
      </c>
    </row>
    <row r="806" spans="1:7" ht="31.5" x14ac:dyDescent="0.25">
      <c r="A806" s="25" t="s">
        <v>147</v>
      </c>
      <c r="B806" s="20" t="s">
        <v>315</v>
      </c>
      <c r="C806" s="20" t="s">
        <v>134</v>
      </c>
      <c r="D806" s="20" t="s">
        <v>963</v>
      </c>
      <c r="E806" s="20" t="s">
        <v>148</v>
      </c>
      <c r="F806" s="6">
        <f t="shared" si="53"/>
        <v>27.754000000000001</v>
      </c>
      <c r="G806" s="6">
        <f t="shared" si="53"/>
        <v>50</v>
      </c>
    </row>
    <row r="807" spans="1:7" ht="47.25" x14ac:dyDescent="0.25">
      <c r="A807" s="25" t="s">
        <v>149</v>
      </c>
      <c r="B807" s="20" t="s">
        <v>315</v>
      </c>
      <c r="C807" s="20" t="s">
        <v>134</v>
      </c>
      <c r="D807" s="20" t="s">
        <v>963</v>
      </c>
      <c r="E807" s="20" t="s">
        <v>150</v>
      </c>
      <c r="F807" s="6">
        <f>'пр.5.1.ведом.21-22'!G383</f>
        <v>27.754000000000001</v>
      </c>
      <c r="G807" s="6">
        <f>'пр.5.1.ведом.21-22'!H383</f>
        <v>50</v>
      </c>
    </row>
    <row r="808" spans="1:7" ht="47.25" x14ac:dyDescent="0.25">
      <c r="A808" s="23" t="s">
        <v>1076</v>
      </c>
      <c r="B808" s="24" t="s">
        <v>315</v>
      </c>
      <c r="C808" s="24" t="s">
        <v>134</v>
      </c>
      <c r="D808" s="24" t="s">
        <v>964</v>
      </c>
      <c r="E808" s="24"/>
      <c r="F808" s="4">
        <f t="shared" ref="F808:G810" si="54">F809</f>
        <v>507</v>
      </c>
      <c r="G808" s="4">
        <f t="shared" si="54"/>
        <v>507</v>
      </c>
    </row>
    <row r="809" spans="1:7" ht="47.25" x14ac:dyDescent="0.25">
      <c r="A809" s="25" t="s">
        <v>885</v>
      </c>
      <c r="B809" s="20" t="s">
        <v>315</v>
      </c>
      <c r="C809" s="20" t="s">
        <v>134</v>
      </c>
      <c r="D809" s="20" t="s">
        <v>1252</v>
      </c>
      <c r="E809" s="20"/>
      <c r="F809" s="6">
        <f t="shared" si="54"/>
        <v>507</v>
      </c>
      <c r="G809" s="6">
        <f t="shared" si="54"/>
        <v>507</v>
      </c>
    </row>
    <row r="810" spans="1:7" ht="94.5" x14ac:dyDescent="0.25">
      <c r="A810" s="25" t="s">
        <v>143</v>
      </c>
      <c r="B810" s="20" t="s">
        <v>315</v>
      </c>
      <c r="C810" s="20" t="s">
        <v>134</v>
      </c>
      <c r="D810" s="20" t="s">
        <v>1252</v>
      </c>
      <c r="E810" s="20" t="s">
        <v>144</v>
      </c>
      <c r="F810" s="6">
        <f t="shared" si="54"/>
        <v>507</v>
      </c>
      <c r="G810" s="6">
        <f t="shared" si="54"/>
        <v>507</v>
      </c>
    </row>
    <row r="811" spans="1:7" ht="47.25" x14ac:dyDescent="0.25">
      <c r="A811" s="25" t="s">
        <v>145</v>
      </c>
      <c r="B811" s="20" t="s">
        <v>315</v>
      </c>
      <c r="C811" s="20" t="s">
        <v>134</v>
      </c>
      <c r="D811" s="20" t="s">
        <v>1252</v>
      </c>
      <c r="E811" s="20" t="s">
        <v>225</v>
      </c>
      <c r="F811" s="6">
        <f>'пр.5.1.ведом.21-22'!G387</f>
        <v>507</v>
      </c>
      <c r="G811" s="6">
        <f>'пр.5.1.ведом.21-22'!H387</f>
        <v>507</v>
      </c>
    </row>
    <row r="812" spans="1:7" ht="31.5" x14ac:dyDescent="0.25">
      <c r="A812" s="23" t="s">
        <v>1163</v>
      </c>
      <c r="B812" s="24" t="s">
        <v>315</v>
      </c>
      <c r="C812" s="24" t="s">
        <v>134</v>
      </c>
      <c r="D812" s="24" t="s">
        <v>965</v>
      </c>
      <c r="E812" s="24"/>
      <c r="F812" s="4">
        <f>F813+F816</f>
        <v>68.7</v>
      </c>
      <c r="G812" s="4">
        <f>G813+G816</f>
        <v>68.7</v>
      </c>
    </row>
    <row r="813" spans="1:7" ht="31.5" x14ac:dyDescent="0.25">
      <c r="A813" s="25" t="s">
        <v>345</v>
      </c>
      <c r="B813" s="20" t="s">
        <v>315</v>
      </c>
      <c r="C813" s="20" t="s">
        <v>134</v>
      </c>
      <c r="D813" s="20" t="s">
        <v>1253</v>
      </c>
      <c r="E813" s="20"/>
      <c r="F813" s="6">
        <f>F814</f>
        <v>3.5</v>
      </c>
      <c r="G813" s="6">
        <f>G814</f>
        <v>3.5</v>
      </c>
    </row>
    <row r="814" spans="1:7" ht="31.5" x14ac:dyDescent="0.25">
      <c r="A814" s="25" t="s">
        <v>147</v>
      </c>
      <c r="B814" s="20" t="s">
        <v>315</v>
      </c>
      <c r="C814" s="20" t="s">
        <v>134</v>
      </c>
      <c r="D814" s="20" t="s">
        <v>1253</v>
      </c>
      <c r="E814" s="20" t="s">
        <v>148</v>
      </c>
      <c r="F814" s="6">
        <f>F815</f>
        <v>3.5</v>
      </c>
      <c r="G814" s="6">
        <f>G815</f>
        <v>3.5</v>
      </c>
    </row>
    <row r="815" spans="1:7" ht="47.25" x14ac:dyDescent="0.25">
      <c r="A815" s="25" t="s">
        <v>149</v>
      </c>
      <c r="B815" s="20" t="s">
        <v>315</v>
      </c>
      <c r="C815" s="20" t="s">
        <v>134</v>
      </c>
      <c r="D815" s="20" t="s">
        <v>1253</v>
      </c>
      <c r="E815" s="20" t="s">
        <v>150</v>
      </c>
      <c r="F815" s="6">
        <f>'пр.5.1.ведом.21-22'!G391</f>
        <v>3.5</v>
      </c>
      <c r="G815" s="6">
        <f>'пр.5.1.ведом.21-22'!H391</f>
        <v>3.5</v>
      </c>
    </row>
    <row r="816" spans="1:7" ht="31.5" x14ac:dyDescent="0.25">
      <c r="A816" s="25" t="s">
        <v>345</v>
      </c>
      <c r="B816" s="20" t="s">
        <v>315</v>
      </c>
      <c r="C816" s="20" t="s">
        <v>134</v>
      </c>
      <c r="D816" s="20" t="s">
        <v>1254</v>
      </c>
      <c r="E816" s="20"/>
      <c r="F816" s="6">
        <f>F817</f>
        <v>65.2</v>
      </c>
      <c r="G816" s="6">
        <f>G817</f>
        <v>65.2</v>
      </c>
    </row>
    <row r="817" spans="1:7" ht="31.5" x14ac:dyDescent="0.25">
      <c r="A817" s="25" t="s">
        <v>147</v>
      </c>
      <c r="B817" s="20" t="s">
        <v>315</v>
      </c>
      <c r="C817" s="20" t="s">
        <v>134</v>
      </c>
      <c r="D817" s="20" t="s">
        <v>1254</v>
      </c>
      <c r="E817" s="20" t="s">
        <v>148</v>
      </c>
      <c r="F817" s="6">
        <f>F818</f>
        <v>65.2</v>
      </c>
      <c r="G817" s="6">
        <f>G818</f>
        <v>65.2</v>
      </c>
    </row>
    <row r="818" spans="1:7" ht="47.25" x14ac:dyDescent="0.25">
      <c r="A818" s="25" t="s">
        <v>149</v>
      </c>
      <c r="B818" s="20" t="s">
        <v>315</v>
      </c>
      <c r="C818" s="20" t="s">
        <v>134</v>
      </c>
      <c r="D818" s="20" t="s">
        <v>1254</v>
      </c>
      <c r="E818" s="38">
        <v>240</v>
      </c>
      <c r="F818" s="6">
        <f>'пр.5.1.ведом.21-22'!G394</f>
        <v>65.2</v>
      </c>
      <c r="G818" s="6">
        <f>'пр.5.1.ведом.21-22'!H394</f>
        <v>65.2</v>
      </c>
    </row>
    <row r="819" spans="1:7" ht="63" x14ac:dyDescent="0.25">
      <c r="A819" s="230" t="s">
        <v>971</v>
      </c>
      <c r="B819" s="24" t="s">
        <v>315</v>
      </c>
      <c r="C819" s="24" t="s">
        <v>134</v>
      </c>
      <c r="D819" s="24" t="s">
        <v>1255</v>
      </c>
      <c r="E819" s="24"/>
      <c r="F819" s="310">
        <f>F823+F826+F820</f>
        <v>1596</v>
      </c>
      <c r="G819" s="310">
        <f>G823+G826+G820</f>
        <v>1596</v>
      </c>
    </row>
    <row r="820" spans="1:7" s="331" customFormat="1" ht="126" x14ac:dyDescent="0.25">
      <c r="A820" s="31" t="s">
        <v>309</v>
      </c>
      <c r="B820" s="338" t="s">
        <v>315</v>
      </c>
      <c r="C820" s="338" t="s">
        <v>134</v>
      </c>
      <c r="D820" s="338" t="s">
        <v>1524</v>
      </c>
      <c r="E820" s="338"/>
      <c r="F820" s="308">
        <f>F821</f>
        <v>1276.3</v>
      </c>
      <c r="G820" s="308">
        <f>G821</f>
        <v>1276.3</v>
      </c>
    </row>
    <row r="821" spans="1:7" s="331" customFormat="1" ht="94.5" x14ac:dyDescent="0.25">
      <c r="A821" s="342" t="s">
        <v>143</v>
      </c>
      <c r="B821" s="338" t="s">
        <v>315</v>
      </c>
      <c r="C821" s="338" t="s">
        <v>134</v>
      </c>
      <c r="D821" s="338" t="s">
        <v>1524</v>
      </c>
      <c r="E821" s="338" t="s">
        <v>144</v>
      </c>
      <c r="F821" s="308">
        <f>F822</f>
        <v>1276.3</v>
      </c>
      <c r="G821" s="308">
        <f>G822</f>
        <v>1276.3</v>
      </c>
    </row>
    <row r="822" spans="1:7" s="331" customFormat="1" ht="31.5" x14ac:dyDescent="0.25">
      <c r="A822" s="342" t="s">
        <v>224</v>
      </c>
      <c r="B822" s="338" t="s">
        <v>315</v>
      </c>
      <c r="C822" s="338" t="s">
        <v>134</v>
      </c>
      <c r="D822" s="338" t="s">
        <v>1524</v>
      </c>
      <c r="E822" s="338" t="s">
        <v>225</v>
      </c>
      <c r="F822" s="308">
        <f>'пр.5.1.ведом.21-22'!G398</f>
        <v>1276.3</v>
      </c>
      <c r="G822" s="308">
        <f>'пр.5.1.ведом.21-22'!H398</f>
        <v>1276.3</v>
      </c>
    </row>
    <row r="823" spans="1:7" ht="94.5" x14ac:dyDescent="0.25">
      <c r="A823" s="25" t="s">
        <v>347</v>
      </c>
      <c r="B823" s="20" t="s">
        <v>315</v>
      </c>
      <c r="C823" s="20" t="s">
        <v>134</v>
      </c>
      <c r="D823" s="20" t="s">
        <v>1256</v>
      </c>
      <c r="E823" s="20"/>
      <c r="F823" s="6">
        <f>F824</f>
        <v>319.7</v>
      </c>
      <c r="G823" s="6">
        <f>G824</f>
        <v>319.7</v>
      </c>
    </row>
    <row r="824" spans="1:7" ht="94.5" x14ac:dyDescent="0.25">
      <c r="A824" s="25" t="s">
        <v>143</v>
      </c>
      <c r="B824" s="20" t="s">
        <v>315</v>
      </c>
      <c r="C824" s="20" t="s">
        <v>134</v>
      </c>
      <c r="D824" s="20" t="s">
        <v>1256</v>
      </c>
      <c r="E824" s="20" t="s">
        <v>144</v>
      </c>
      <c r="F824" s="6">
        <f>F825</f>
        <v>319.7</v>
      </c>
      <c r="G824" s="6">
        <f>G825</f>
        <v>319.7</v>
      </c>
    </row>
    <row r="825" spans="1:7" ht="31.5" x14ac:dyDescent="0.25">
      <c r="A825" s="25" t="s">
        <v>224</v>
      </c>
      <c r="B825" s="20" t="s">
        <v>315</v>
      </c>
      <c r="C825" s="20" t="s">
        <v>134</v>
      </c>
      <c r="D825" s="20" t="s">
        <v>1256</v>
      </c>
      <c r="E825" s="20" t="s">
        <v>225</v>
      </c>
      <c r="F825" s="6">
        <f>'пр.5.1.ведом.21-22'!G401</f>
        <v>319.7</v>
      </c>
      <c r="G825" s="6">
        <f>'пр.5.1.ведом.21-22'!H401</f>
        <v>319.7</v>
      </c>
    </row>
    <row r="826" spans="1:7" ht="126" hidden="1" x14ac:dyDescent="0.25">
      <c r="A826" s="31" t="s">
        <v>309</v>
      </c>
      <c r="B826" s="20" t="s">
        <v>315</v>
      </c>
      <c r="C826" s="20" t="s">
        <v>134</v>
      </c>
      <c r="D826" s="20" t="s">
        <v>1257</v>
      </c>
      <c r="E826" s="20"/>
      <c r="F826" s="6">
        <f>F827</f>
        <v>0</v>
      </c>
      <c r="G826" s="6">
        <f>G827</f>
        <v>0</v>
      </c>
    </row>
    <row r="827" spans="1:7" ht="94.5" hidden="1" x14ac:dyDescent="0.25">
      <c r="A827" s="25" t="s">
        <v>143</v>
      </c>
      <c r="B827" s="20" t="s">
        <v>315</v>
      </c>
      <c r="C827" s="20" t="s">
        <v>134</v>
      </c>
      <c r="D827" s="20" t="s">
        <v>1257</v>
      </c>
      <c r="E827" s="20" t="s">
        <v>144</v>
      </c>
      <c r="F827" s="6">
        <f>F828</f>
        <v>0</v>
      </c>
      <c r="G827" s="6">
        <f>G828</f>
        <v>0</v>
      </c>
    </row>
    <row r="828" spans="1:7" ht="31.5" hidden="1" x14ac:dyDescent="0.25">
      <c r="A828" s="25" t="s">
        <v>224</v>
      </c>
      <c r="B828" s="20" t="s">
        <v>315</v>
      </c>
      <c r="C828" s="20" t="s">
        <v>134</v>
      </c>
      <c r="D828" s="20" t="s">
        <v>1257</v>
      </c>
      <c r="E828" s="20" t="s">
        <v>225</v>
      </c>
      <c r="F828" s="6">
        <f>'пр.5.1.ведом.21-22'!G404</f>
        <v>0</v>
      </c>
      <c r="G828" s="6">
        <f>'пр.5.1.ведом.21-22'!H404</f>
        <v>0</v>
      </c>
    </row>
    <row r="829" spans="1:7" ht="78.75" hidden="1" x14ac:dyDescent="0.25">
      <c r="A829" s="34" t="s">
        <v>805</v>
      </c>
      <c r="B829" s="24" t="s">
        <v>315</v>
      </c>
      <c r="C829" s="24" t="s">
        <v>134</v>
      </c>
      <c r="D829" s="24" t="s">
        <v>340</v>
      </c>
      <c r="E829" s="24"/>
      <c r="F829" s="310">
        <f t="shared" ref="F829:G832" si="55">F830</f>
        <v>0</v>
      </c>
      <c r="G829" s="310">
        <f t="shared" si="55"/>
        <v>0</v>
      </c>
    </row>
    <row r="830" spans="1:7" ht="63" hidden="1" x14ac:dyDescent="0.25">
      <c r="A830" s="34" t="s">
        <v>1191</v>
      </c>
      <c r="B830" s="24" t="s">
        <v>315</v>
      </c>
      <c r="C830" s="24" t="s">
        <v>134</v>
      </c>
      <c r="D830" s="24" t="s">
        <v>1025</v>
      </c>
      <c r="E830" s="24"/>
      <c r="F830" s="4">
        <f t="shared" si="55"/>
        <v>0</v>
      </c>
      <c r="G830" s="4">
        <f t="shared" si="55"/>
        <v>0</v>
      </c>
    </row>
    <row r="831" spans="1:7" ht="63" hidden="1" x14ac:dyDescent="0.25">
      <c r="A831" s="31" t="s">
        <v>1272</v>
      </c>
      <c r="B831" s="20" t="s">
        <v>315</v>
      </c>
      <c r="C831" s="20" t="s">
        <v>134</v>
      </c>
      <c r="D831" s="20" t="s">
        <v>1192</v>
      </c>
      <c r="E831" s="20"/>
      <c r="F831" s="6">
        <f t="shared" si="55"/>
        <v>0</v>
      </c>
      <c r="G831" s="6">
        <f t="shared" si="55"/>
        <v>0</v>
      </c>
    </row>
    <row r="832" spans="1:7" ht="31.5" hidden="1" x14ac:dyDescent="0.25">
      <c r="A832" s="25" t="s">
        <v>147</v>
      </c>
      <c r="B832" s="20" t="s">
        <v>315</v>
      </c>
      <c r="C832" s="20" t="s">
        <v>134</v>
      </c>
      <c r="D832" s="20" t="s">
        <v>1192</v>
      </c>
      <c r="E832" s="20" t="s">
        <v>148</v>
      </c>
      <c r="F832" s="6">
        <f t="shared" si="55"/>
        <v>0</v>
      </c>
      <c r="G832" s="6">
        <f t="shared" si="55"/>
        <v>0</v>
      </c>
    </row>
    <row r="833" spans="1:7" ht="47.25" hidden="1" x14ac:dyDescent="0.25">
      <c r="A833" s="25" t="s">
        <v>149</v>
      </c>
      <c r="B833" s="20" t="s">
        <v>315</v>
      </c>
      <c r="C833" s="20" t="s">
        <v>134</v>
      </c>
      <c r="D833" s="20" t="s">
        <v>1192</v>
      </c>
      <c r="E833" s="20" t="s">
        <v>150</v>
      </c>
      <c r="F833" s="6">
        <f>'пр.5.1.ведом.21-22'!G409</f>
        <v>0</v>
      </c>
      <c r="G833" s="6">
        <f>'пр.5.1.ведом.21-22'!H409</f>
        <v>0</v>
      </c>
    </row>
    <row r="834" spans="1:7" ht="78.75" x14ac:dyDescent="0.25">
      <c r="A834" s="41" t="s">
        <v>1425</v>
      </c>
      <c r="B834" s="24" t="s">
        <v>315</v>
      </c>
      <c r="C834" s="24" t="s">
        <v>134</v>
      </c>
      <c r="D834" s="24" t="s">
        <v>728</v>
      </c>
      <c r="E834" s="235"/>
      <c r="F834" s="4">
        <f t="shared" ref="F834:G834" si="56">F835</f>
        <v>793.2</v>
      </c>
      <c r="G834" s="4">
        <f t="shared" si="56"/>
        <v>793.2</v>
      </c>
    </row>
    <row r="835" spans="1:7" ht="63" x14ac:dyDescent="0.25">
      <c r="A835" s="41" t="s">
        <v>949</v>
      </c>
      <c r="B835" s="24" t="s">
        <v>315</v>
      </c>
      <c r="C835" s="24" t="s">
        <v>134</v>
      </c>
      <c r="D835" s="24" t="s">
        <v>947</v>
      </c>
      <c r="E835" s="235"/>
      <c r="F835" s="4">
        <f t="shared" ref="F835:G837" si="57">F836</f>
        <v>793.2</v>
      </c>
      <c r="G835" s="4">
        <f t="shared" si="57"/>
        <v>793.2</v>
      </c>
    </row>
    <row r="836" spans="1:7" ht="47.25" x14ac:dyDescent="0.25">
      <c r="A836" s="99" t="s">
        <v>1187</v>
      </c>
      <c r="B836" s="20" t="s">
        <v>315</v>
      </c>
      <c r="C836" s="20" t="s">
        <v>134</v>
      </c>
      <c r="D836" s="20" t="s">
        <v>948</v>
      </c>
      <c r="E836" s="32"/>
      <c r="F836" s="6">
        <f t="shared" si="57"/>
        <v>793.2</v>
      </c>
      <c r="G836" s="6">
        <f t="shared" si="57"/>
        <v>793.2</v>
      </c>
    </row>
    <row r="837" spans="1:7" ht="31.5" x14ac:dyDescent="0.25">
      <c r="A837" s="25" t="s">
        <v>147</v>
      </c>
      <c r="B837" s="20" t="s">
        <v>315</v>
      </c>
      <c r="C837" s="20" t="s">
        <v>134</v>
      </c>
      <c r="D837" s="20" t="s">
        <v>948</v>
      </c>
      <c r="E837" s="32" t="s">
        <v>148</v>
      </c>
      <c r="F837" s="6">
        <f t="shared" si="57"/>
        <v>793.2</v>
      </c>
      <c r="G837" s="6">
        <f t="shared" si="57"/>
        <v>793.2</v>
      </c>
    </row>
    <row r="838" spans="1:7" ht="47.25" x14ac:dyDescent="0.25">
      <c r="A838" s="25" t="s">
        <v>149</v>
      </c>
      <c r="B838" s="20" t="s">
        <v>315</v>
      </c>
      <c r="C838" s="20" t="s">
        <v>134</v>
      </c>
      <c r="D838" s="20" t="s">
        <v>948</v>
      </c>
      <c r="E838" s="32" t="s">
        <v>150</v>
      </c>
      <c r="F838" s="6">
        <f>'пр.5.1.ведом.21-22'!G414</f>
        <v>793.2</v>
      </c>
      <c r="G838" s="6">
        <f>'пр.5.1.ведом.21-22'!H414</f>
        <v>793.2</v>
      </c>
    </row>
    <row r="839" spans="1:7" ht="31.5" x14ac:dyDescent="0.25">
      <c r="A839" s="23" t="s">
        <v>349</v>
      </c>
      <c r="B839" s="24" t="s">
        <v>315</v>
      </c>
      <c r="C839" s="24" t="s">
        <v>166</v>
      </c>
      <c r="D839" s="24"/>
      <c r="E839" s="32"/>
      <c r="F839" s="4">
        <f>F840+F850+F862</f>
        <v>17339</v>
      </c>
      <c r="G839" s="4">
        <f>G840+G850+G862</f>
        <v>17339</v>
      </c>
    </row>
    <row r="840" spans="1:7" ht="31.5" x14ac:dyDescent="0.25">
      <c r="A840" s="23" t="s">
        <v>990</v>
      </c>
      <c r="B840" s="24" t="s">
        <v>315</v>
      </c>
      <c r="C840" s="24" t="s">
        <v>166</v>
      </c>
      <c r="D840" s="24" t="s">
        <v>904</v>
      </c>
      <c r="E840" s="32"/>
      <c r="F840" s="4">
        <f>F841</f>
        <v>6870</v>
      </c>
      <c r="G840" s="4">
        <f>G841</f>
        <v>6870</v>
      </c>
    </row>
    <row r="841" spans="1:7" ht="15.75" x14ac:dyDescent="0.25">
      <c r="A841" s="23" t="s">
        <v>991</v>
      </c>
      <c r="B841" s="24" t="s">
        <v>315</v>
      </c>
      <c r="C841" s="24" t="s">
        <v>166</v>
      </c>
      <c r="D841" s="24" t="s">
        <v>905</v>
      </c>
      <c r="E841" s="32"/>
      <c r="F841" s="4">
        <f>F842+F847</f>
        <v>6870</v>
      </c>
      <c r="G841" s="4">
        <f>G842+G847</f>
        <v>6870</v>
      </c>
    </row>
    <row r="842" spans="1:7" ht="31.5" x14ac:dyDescent="0.25">
      <c r="A842" s="25" t="s">
        <v>967</v>
      </c>
      <c r="B842" s="20" t="s">
        <v>315</v>
      </c>
      <c r="C842" s="20" t="s">
        <v>166</v>
      </c>
      <c r="D842" s="20" t="s">
        <v>906</v>
      </c>
      <c r="E842" s="32"/>
      <c r="F842" s="6">
        <f>F843</f>
        <v>6744</v>
      </c>
      <c r="G842" s="6">
        <f>G843</f>
        <v>6744</v>
      </c>
    </row>
    <row r="843" spans="1:7" ht="94.5" x14ac:dyDescent="0.25">
      <c r="A843" s="25" t="s">
        <v>143</v>
      </c>
      <c r="B843" s="20" t="s">
        <v>315</v>
      </c>
      <c r="C843" s="20" t="s">
        <v>166</v>
      </c>
      <c r="D843" s="20" t="s">
        <v>906</v>
      </c>
      <c r="E843" s="32" t="s">
        <v>144</v>
      </c>
      <c r="F843" s="6">
        <f>F844</f>
        <v>6744</v>
      </c>
      <c r="G843" s="6">
        <f>G844</f>
        <v>6744</v>
      </c>
    </row>
    <row r="844" spans="1:7" ht="47.25" x14ac:dyDescent="0.25">
      <c r="A844" s="25" t="s">
        <v>145</v>
      </c>
      <c r="B844" s="20" t="s">
        <v>315</v>
      </c>
      <c r="C844" s="20" t="s">
        <v>166</v>
      </c>
      <c r="D844" s="20" t="s">
        <v>906</v>
      </c>
      <c r="E844" s="40" t="s">
        <v>146</v>
      </c>
      <c r="F844" s="6">
        <f>'пр.5.1.ведом.21-22'!G420</f>
        <v>6744</v>
      </c>
      <c r="G844" s="6">
        <f>'пр.5.1.ведом.21-22'!H420</f>
        <v>6744</v>
      </c>
    </row>
    <row r="845" spans="1:7" ht="31.5" hidden="1" x14ac:dyDescent="0.25">
      <c r="A845" s="25" t="s">
        <v>147</v>
      </c>
      <c r="B845" s="20" t="s">
        <v>315</v>
      </c>
      <c r="C845" s="20" t="s">
        <v>166</v>
      </c>
      <c r="D845" s="20" t="s">
        <v>906</v>
      </c>
      <c r="E845" s="40" t="s">
        <v>148</v>
      </c>
      <c r="F845" s="6">
        <f>'Пр.3 Рд,пр, ЦС,ВР 20'!F882</f>
        <v>0</v>
      </c>
      <c r="G845" s="6">
        <f>'Пр.3 Рд,пр, ЦС,ВР 20'!G882</f>
        <v>0</v>
      </c>
    </row>
    <row r="846" spans="1:7" ht="47.25" hidden="1" x14ac:dyDescent="0.25">
      <c r="A846" s="25" t="s">
        <v>149</v>
      </c>
      <c r="B846" s="20" t="s">
        <v>315</v>
      </c>
      <c r="C846" s="20" t="s">
        <v>166</v>
      </c>
      <c r="D846" s="20" t="s">
        <v>906</v>
      </c>
      <c r="E846" s="40" t="s">
        <v>150</v>
      </c>
      <c r="F846" s="6">
        <f>'Пр.3 Рд,пр, ЦС,ВР 20'!F883</f>
        <v>0</v>
      </c>
      <c r="G846" s="6">
        <f>'Пр.3 Рд,пр, ЦС,ВР 20'!G883</f>
        <v>0</v>
      </c>
    </row>
    <row r="847" spans="1:7" ht="47.25" x14ac:dyDescent="0.25">
      <c r="A847" s="25" t="s">
        <v>885</v>
      </c>
      <c r="B847" s="20" t="s">
        <v>315</v>
      </c>
      <c r="C847" s="20" t="s">
        <v>166</v>
      </c>
      <c r="D847" s="20" t="s">
        <v>908</v>
      </c>
      <c r="E847" s="40"/>
      <c r="F847" s="6">
        <f>F848</f>
        <v>126</v>
      </c>
      <c r="G847" s="6">
        <f>G848</f>
        <v>126</v>
      </c>
    </row>
    <row r="848" spans="1:7" ht="94.5" x14ac:dyDescent="0.25">
      <c r="A848" s="25" t="s">
        <v>143</v>
      </c>
      <c r="B848" s="20" t="s">
        <v>315</v>
      </c>
      <c r="C848" s="20" t="s">
        <v>166</v>
      </c>
      <c r="D848" s="20" t="s">
        <v>908</v>
      </c>
      <c r="E848" s="40" t="s">
        <v>144</v>
      </c>
      <c r="F848" s="6">
        <f>F849</f>
        <v>126</v>
      </c>
      <c r="G848" s="6">
        <f>G849</f>
        <v>126</v>
      </c>
    </row>
    <row r="849" spans="1:7" ht="47.25" x14ac:dyDescent="0.25">
      <c r="A849" s="25" t="s">
        <v>145</v>
      </c>
      <c r="B849" s="20" t="s">
        <v>315</v>
      </c>
      <c r="C849" s="20" t="s">
        <v>166</v>
      </c>
      <c r="D849" s="20" t="s">
        <v>908</v>
      </c>
      <c r="E849" s="40" t="s">
        <v>146</v>
      </c>
      <c r="F849" s="6">
        <f>'пр.5.1.ведом.21-22'!G425</f>
        <v>126</v>
      </c>
      <c r="G849" s="6">
        <f>'пр.5.1.ведом.21-22'!H425</f>
        <v>126</v>
      </c>
    </row>
    <row r="850" spans="1:7" ht="15.75" x14ac:dyDescent="0.25">
      <c r="A850" s="23" t="s">
        <v>999</v>
      </c>
      <c r="B850" s="24" t="s">
        <v>315</v>
      </c>
      <c r="C850" s="24" t="s">
        <v>166</v>
      </c>
      <c r="D850" s="24" t="s">
        <v>912</v>
      </c>
      <c r="E850" s="40"/>
      <c r="F850" s="4">
        <f t="shared" ref="F850:G850" si="58">F851</f>
        <v>10209</v>
      </c>
      <c r="G850" s="4">
        <f t="shared" si="58"/>
        <v>10209</v>
      </c>
    </row>
    <row r="851" spans="1:7" ht="47.25" x14ac:dyDescent="0.25">
      <c r="A851" s="23" t="s">
        <v>1002</v>
      </c>
      <c r="B851" s="24" t="s">
        <v>315</v>
      </c>
      <c r="C851" s="24" t="s">
        <v>166</v>
      </c>
      <c r="D851" s="24" t="s">
        <v>987</v>
      </c>
      <c r="E851" s="40"/>
      <c r="F851" s="4">
        <f>F852+F859</f>
        <v>10209</v>
      </c>
      <c r="G851" s="4">
        <f>G852+G859</f>
        <v>10209</v>
      </c>
    </row>
    <row r="852" spans="1:7" ht="31.5" x14ac:dyDescent="0.25">
      <c r="A852" s="25" t="s">
        <v>974</v>
      </c>
      <c r="B852" s="20" t="s">
        <v>315</v>
      </c>
      <c r="C852" s="20" t="s">
        <v>166</v>
      </c>
      <c r="D852" s="20" t="s">
        <v>988</v>
      </c>
      <c r="E852" s="40"/>
      <c r="F852" s="6">
        <f>F853+F855+F857</f>
        <v>9999</v>
      </c>
      <c r="G852" s="6">
        <f>G853+G855+G857</f>
        <v>9999</v>
      </c>
    </row>
    <row r="853" spans="1:7" ht="94.5" x14ac:dyDescent="0.25">
      <c r="A853" s="25" t="s">
        <v>143</v>
      </c>
      <c r="B853" s="20" t="s">
        <v>315</v>
      </c>
      <c r="C853" s="20" t="s">
        <v>166</v>
      </c>
      <c r="D853" s="20" t="s">
        <v>988</v>
      </c>
      <c r="E853" s="40" t="s">
        <v>144</v>
      </c>
      <c r="F853" s="6">
        <f>F854</f>
        <v>8048</v>
      </c>
      <c r="G853" s="6">
        <f>G854</f>
        <v>8048</v>
      </c>
    </row>
    <row r="854" spans="1:7" ht="31.5" x14ac:dyDescent="0.25">
      <c r="A854" s="25" t="s">
        <v>358</v>
      </c>
      <c r="B854" s="20" t="s">
        <v>315</v>
      </c>
      <c r="C854" s="20" t="s">
        <v>166</v>
      </c>
      <c r="D854" s="20" t="s">
        <v>988</v>
      </c>
      <c r="E854" s="40" t="s">
        <v>225</v>
      </c>
      <c r="F854" s="6">
        <f>'пр.5.1.ведом.21-22'!G430</f>
        <v>8048</v>
      </c>
      <c r="G854" s="6">
        <f>'пр.5.1.ведом.21-22'!H430</f>
        <v>8048</v>
      </c>
    </row>
    <row r="855" spans="1:7" ht="31.5" x14ac:dyDescent="0.25">
      <c r="A855" s="25" t="s">
        <v>147</v>
      </c>
      <c r="B855" s="20" t="s">
        <v>315</v>
      </c>
      <c r="C855" s="20" t="s">
        <v>166</v>
      </c>
      <c r="D855" s="20" t="s">
        <v>988</v>
      </c>
      <c r="E855" s="40" t="s">
        <v>148</v>
      </c>
      <c r="F855" s="6">
        <f>F856</f>
        <v>1937</v>
      </c>
      <c r="G855" s="6">
        <f>G856</f>
        <v>1937</v>
      </c>
    </row>
    <row r="856" spans="1:7" ht="47.25" x14ac:dyDescent="0.25">
      <c r="A856" s="25" t="s">
        <v>149</v>
      </c>
      <c r="B856" s="20" t="s">
        <v>315</v>
      </c>
      <c r="C856" s="20" t="s">
        <v>166</v>
      </c>
      <c r="D856" s="20" t="s">
        <v>988</v>
      </c>
      <c r="E856" s="40" t="s">
        <v>150</v>
      </c>
      <c r="F856" s="6">
        <f>'пр.5.1.ведом.21-22'!G432</f>
        <v>1937</v>
      </c>
      <c r="G856" s="6">
        <f>'пр.5.1.ведом.21-22'!H432</f>
        <v>1937</v>
      </c>
    </row>
    <row r="857" spans="1:7" ht="15.75" x14ac:dyDescent="0.25">
      <c r="A857" s="25" t="s">
        <v>151</v>
      </c>
      <c r="B857" s="20" t="s">
        <v>315</v>
      </c>
      <c r="C857" s="20" t="s">
        <v>166</v>
      </c>
      <c r="D857" s="20" t="s">
        <v>988</v>
      </c>
      <c r="E857" s="40" t="s">
        <v>161</v>
      </c>
      <c r="F857" s="6">
        <f>F858</f>
        <v>14</v>
      </c>
      <c r="G857" s="6">
        <f>G858</f>
        <v>14</v>
      </c>
    </row>
    <row r="858" spans="1:7" ht="31.5" x14ac:dyDescent="0.25">
      <c r="A858" s="25" t="s">
        <v>584</v>
      </c>
      <c r="B858" s="20" t="s">
        <v>315</v>
      </c>
      <c r="C858" s="20" t="s">
        <v>166</v>
      </c>
      <c r="D858" s="20" t="s">
        <v>988</v>
      </c>
      <c r="E858" s="40" t="s">
        <v>154</v>
      </c>
      <c r="F858" s="6">
        <f>'пр.5.1.ведом.21-22'!G434</f>
        <v>14</v>
      </c>
      <c r="G858" s="6">
        <f>'пр.5.1.ведом.21-22'!H434</f>
        <v>14</v>
      </c>
    </row>
    <row r="859" spans="1:7" ht="47.25" x14ac:dyDescent="0.25">
      <c r="A859" s="25" t="s">
        <v>885</v>
      </c>
      <c r="B859" s="20" t="s">
        <v>315</v>
      </c>
      <c r="C859" s="20" t="s">
        <v>166</v>
      </c>
      <c r="D859" s="20" t="s">
        <v>989</v>
      </c>
      <c r="E859" s="40"/>
      <c r="F859" s="6">
        <f>F860</f>
        <v>210</v>
      </c>
      <c r="G859" s="6">
        <f>G860</f>
        <v>210</v>
      </c>
    </row>
    <row r="860" spans="1:7" ht="94.5" x14ac:dyDescent="0.25">
      <c r="A860" s="25" t="s">
        <v>143</v>
      </c>
      <c r="B860" s="20" t="s">
        <v>315</v>
      </c>
      <c r="C860" s="20" t="s">
        <v>166</v>
      </c>
      <c r="D860" s="20" t="s">
        <v>989</v>
      </c>
      <c r="E860" s="40" t="s">
        <v>144</v>
      </c>
      <c r="F860" s="6">
        <f>F861</f>
        <v>210</v>
      </c>
      <c r="G860" s="6">
        <f>G861</f>
        <v>210</v>
      </c>
    </row>
    <row r="861" spans="1:7" ht="47.25" x14ac:dyDescent="0.25">
      <c r="A861" s="25" t="s">
        <v>145</v>
      </c>
      <c r="B861" s="20" t="s">
        <v>315</v>
      </c>
      <c r="C861" s="20" t="s">
        <v>166</v>
      </c>
      <c r="D861" s="20" t="s">
        <v>989</v>
      </c>
      <c r="E861" s="40" t="s">
        <v>225</v>
      </c>
      <c r="F861" s="6">
        <f>'пр.5.1.ведом.21-22'!G437</f>
        <v>210</v>
      </c>
      <c r="G861" s="6">
        <f>'пр.5.1.ведом.21-22'!H437</f>
        <v>210</v>
      </c>
    </row>
    <row r="862" spans="1:7" ht="50.25" customHeight="1" x14ac:dyDescent="0.25">
      <c r="A862" s="23" t="s">
        <v>1423</v>
      </c>
      <c r="B862" s="24" t="s">
        <v>315</v>
      </c>
      <c r="C862" s="24" t="s">
        <v>166</v>
      </c>
      <c r="D862" s="24" t="s">
        <v>360</v>
      </c>
      <c r="E862" s="40"/>
      <c r="F862" s="4">
        <f t="shared" ref="F862:G864" si="59">F863</f>
        <v>260</v>
      </c>
      <c r="G862" s="4">
        <f t="shared" si="59"/>
        <v>260</v>
      </c>
    </row>
    <row r="863" spans="1:7" ht="78.75" x14ac:dyDescent="0.25">
      <c r="A863" s="23" t="s">
        <v>380</v>
      </c>
      <c r="B863" s="24" t="s">
        <v>315</v>
      </c>
      <c r="C863" s="24" t="s">
        <v>166</v>
      </c>
      <c r="D863" s="24" t="s">
        <v>381</v>
      </c>
      <c r="E863" s="40"/>
      <c r="F863" s="4">
        <f t="shared" si="59"/>
        <v>260</v>
      </c>
      <c r="G863" s="4">
        <f t="shared" si="59"/>
        <v>260</v>
      </c>
    </row>
    <row r="864" spans="1:7" ht="31.5" x14ac:dyDescent="0.25">
      <c r="A864" s="23" t="s">
        <v>1147</v>
      </c>
      <c r="B864" s="24" t="s">
        <v>315</v>
      </c>
      <c r="C864" s="24" t="s">
        <v>166</v>
      </c>
      <c r="D864" s="24" t="s">
        <v>966</v>
      </c>
      <c r="E864" s="40"/>
      <c r="F864" s="4">
        <f t="shared" si="59"/>
        <v>260</v>
      </c>
      <c r="G864" s="4">
        <f t="shared" si="59"/>
        <v>260</v>
      </c>
    </row>
    <row r="865" spans="1:10" ht="31.5" x14ac:dyDescent="0.25">
      <c r="A865" s="25" t="s">
        <v>1146</v>
      </c>
      <c r="B865" s="20" t="s">
        <v>315</v>
      </c>
      <c r="C865" s="20" t="s">
        <v>166</v>
      </c>
      <c r="D865" s="20" t="s">
        <v>1223</v>
      </c>
      <c r="E865" s="40"/>
      <c r="F865" s="6">
        <f>F866</f>
        <v>260</v>
      </c>
      <c r="G865" s="6">
        <f>G866</f>
        <v>260</v>
      </c>
    </row>
    <row r="866" spans="1:10" ht="31.5" x14ac:dyDescent="0.25">
      <c r="A866" s="25" t="s">
        <v>147</v>
      </c>
      <c r="B866" s="20" t="s">
        <v>315</v>
      </c>
      <c r="C866" s="20" t="s">
        <v>166</v>
      </c>
      <c r="D866" s="20" t="s">
        <v>1223</v>
      </c>
      <c r="E866" s="40" t="s">
        <v>148</v>
      </c>
      <c r="F866" s="6">
        <f>F867</f>
        <v>260</v>
      </c>
      <c r="G866" s="6">
        <f>G867</f>
        <v>260</v>
      </c>
    </row>
    <row r="867" spans="1:10" ht="47.25" x14ac:dyDescent="0.25">
      <c r="A867" s="25" t="s">
        <v>149</v>
      </c>
      <c r="B867" s="20" t="s">
        <v>315</v>
      </c>
      <c r="C867" s="20" t="s">
        <v>166</v>
      </c>
      <c r="D867" s="20" t="s">
        <v>1223</v>
      </c>
      <c r="E867" s="40" t="s">
        <v>150</v>
      </c>
      <c r="F867" s="6">
        <f>'пр.5.1.ведом.21-22'!G443</f>
        <v>260</v>
      </c>
      <c r="G867" s="6">
        <f>'пр.5.1.ведом.21-22'!H443</f>
        <v>260</v>
      </c>
    </row>
    <row r="868" spans="1:10" ht="15.75" x14ac:dyDescent="0.25">
      <c r="A868" s="23" t="s">
        <v>259</v>
      </c>
      <c r="B868" s="24" t="s">
        <v>260</v>
      </c>
      <c r="C868" s="24"/>
      <c r="D868" s="24"/>
      <c r="E868" s="24"/>
      <c r="F868" s="4">
        <f>F869+F875+F911</f>
        <v>19998.400000000001</v>
      </c>
      <c r="G868" s="4">
        <f>G869+G875+G911</f>
        <v>15008.4</v>
      </c>
      <c r="H868">
        <v>14606.9</v>
      </c>
      <c r="I868">
        <v>14606.9</v>
      </c>
      <c r="J868" s="22">
        <f>H868-F868</f>
        <v>-5391.5000000000018</v>
      </c>
    </row>
    <row r="869" spans="1:10" ht="15.75" x14ac:dyDescent="0.25">
      <c r="A869" s="23" t="s">
        <v>261</v>
      </c>
      <c r="B869" s="24" t="s">
        <v>260</v>
      </c>
      <c r="C869" s="24" t="s">
        <v>134</v>
      </c>
      <c r="D869" s="24"/>
      <c r="E869" s="24"/>
      <c r="F869" s="4">
        <f t="shared" ref="F869:G871" si="60">F870</f>
        <v>9456</v>
      </c>
      <c r="G869" s="4">
        <f t="shared" si="60"/>
        <v>9456</v>
      </c>
    </row>
    <row r="870" spans="1:10" ht="15.75" x14ac:dyDescent="0.25">
      <c r="A870" s="23" t="s">
        <v>157</v>
      </c>
      <c r="B870" s="24" t="s">
        <v>260</v>
      </c>
      <c r="C870" s="24" t="s">
        <v>134</v>
      </c>
      <c r="D870" s="24" t="s">
        <v>912</v>
      </c>
      <c r="E870" s="24"/>
      <c r="F870" s="4">
        <f t="shared" si="60"/>
        <v>9456</v>
      </c>
      <c r="G870" s="4">
        <f t="shared" si="60"/>
        <v>9456</v>
      </c>
    </row>
    <row r="871" spans="1:10" ht="31.5" x14ac:dyDescent="0.25">
      <c r="A871" s="23" t="s">
        <v>916</v>
      </c>
      <c r="B871" s="24" t="s">
        <v>260</v>
      </c>
      <c r="C871" s="24" t="s">
        <v>134</v>
      </c>
      <c r="D871" s="24" t="s">
        <v>911</v>
      </c>
      <c r="E871" s="24"/>
      <c r="F871" s="4">
        <f t="shared" si="60"/>
        <v>9456</v>
      </c>
      <c r="G871" s="4">
        <f t="shared" si="60"/>
        <v>9456</v>
      </c>
    </row>
    <row r="872" spans="1:10" ht="31.5" x14ac:dyDescent="0.25">
      <c r="A872" s="25" t="s">
        <v>262</v>
      </c>
      <c r="B872" s="20" t="s">
        <v>260</v>
      </c>
      <c r="C872" s="20" t="s">
        <v>134</v>
      </c>
      <c r="D872" s="20" t="s">
        <v>928</v>
      </c>
      <c r="E872" s="20"/>
      <c r="F872" s="6">
        <f>F873</f>
        <v>9456</v>
      </c>
      <c r="G872" s="6">
        <f>G873</f>
        <v>9456</v>
      </c>
    </row>
    <row r="873" spans="1:10" ht="31.5" x14ac:dyDescent="0.25">
      <c r="A873" s="25" t="s">
        <v>264</v>
      </c>
      <c r="B873" s="20" t="s">
        <v>260</v>
      </c>
      <c r="C873" s="20" t="s">
        <v>134</v>
      </c>
      <c r="D873" s="20" t="s">
        <v>928</v>
      </c>
      <c r="E873" s="20" t="s">
        <v>265</v>
      </c>
      <c r="F873" s="6">
        <f>F874</f>
        <v>9456</v>
      </c>
      <c r="G873" s="6">
        <f>G874</f>
        <v>9456</v>
      </c>
    </row>
    <row r="874" spans="1:10" ht="47.25" x14ac:dyDescent="0.25">
      <c r="A874" s="25" t="s">
        <v>266</v>
      </c>
      <c r="B874" s="20" t="s">
        <v>260</v>
      </c>
      <c r="C874" s="20" t="s">
        <v>134</v>
      </c>
      <c r="D874" s="20" t="s">
        <v>928</v>
      </c>
      <c r="E874" s="20" t="s">
        <v>267</v>
      </c>
      <c r="F874" s="6">
        <f>'пр.5.1.ведом.21-22'!G196</f>
        <v>9456</v>
      </c>
      <c r="G874" s="6">
        <f>'пр.5.1.ведом.21-22'!H196</f>
        <v>9456</v>
      </c>
    </row>
    <row r="875" spans="1:10" ht="15.75" x14ac:dyDescent="0.25">
      <c r="A875" s="23" t="s">
        <v>268</v>
      </c>
      <c r="B875" s="24" t="s">
        <v>260</v>
      </c>
      <c r="C875" s="24" t="s">
        <v>231</v>
      </c>
      <c r="D875" s="24"/>
      <c r="E875" s="24"/>
      <c r="F875" s="4">
        <f>F876+F903</f>
        <v>6834</v>
      </c>
      <c r="G875" s="4">
        <f>G876+G903</f>
        <v>1844</v>
      </c>
    </row>
    <row r="876" spans="1:10" ht="63" x14ac:dyDescent="0.25">
      <c r="A876" s="23" t="s">
        <v>1423</v>
      </c>
      <c r="B876" s="24" t="s">
        <v>260</v>
      </c>
      <c r="C876" s="24" t="s">
        <v>231</v>
      </c>
      <c r="D876" s="24" t="s">
        <v>360</v>
      </c>
      <c r="E876" s="24"/>
      <c r="F876" s="4">
        <f>F877+F882+F887+F898</f>
        <v>1824</v>
      </c>
      <c r="G876" s="4">
        <f>G877+G882+G887+G898</f>
        <v>1834</v>
      </c>
    </row>
    <row r="877" spans="1:10" ht="31.5" x14ac:dyDescent="0.25">
      <c r="A877" s="23" t="s">
        <v>368</v>
      </c>
      <c r="B877" s="24" t="s">
        <v>260</v>
      </c>
      <c r="C877" s="24" t="s">
        <v>231</v>
      </c>
      <c r="D877" s="24" t="s">
        <v>369</v>
      </c>
      <c r="E877" s="24"/>
      <c r="F877" s="4">
        <f t="shared" ref="F877:G877" si="61">F878</f>
        <v>44</v>
      </c>
      <c r="G877" s="4">
        <f t="shared" si="61"/>
        <v>54</v>
      </c>
    </row>
    <row r="878" spans="1:10" ht="31.5" x14ac:dyDescent="0.25">
      <c r="A878" s="23" t="s">
        <v>976</v>
      </c>
      <c r="B878" s="24" t="s">
        <v>260</v>
      </c>
      <c r="C878" s="24" t="s">
        <v>231</v>
      </c>
      <c r="D878" s="24" t="s">
        <v>975</v>
      </c>
      <c r="E878" s="24"/>
      <c r="F878" s="4">
        <f t="shared" ref="F878:G880" si="62">F879</f>
        <v>44</v>
      </c>
      <c r="G878" s="4">
        <f t="shared" si="62"/>
        <v>54</v>
      </c>
    </row>
    <row r="879" spans="1:10" ht="31.5" x14ac:dyDescent="0.25">
      <c r="A879" s="25" t="s">
        <v>869</v>
      </c>
      <c r="B879" s="20" t="s">
        <v>260</v>
      </c>
      <c r="C879" s="20" t="s">
        <v>231</v>
      </c>
      <c r="D879" s="20" t="s">
        <v>977</v>
      </c>
      <c r="E879" s="20"/>
      <c r="F879" s="6">
        <f t="shared" si="62"/>
        <v>44</v>
      </c>
      <c r="G879" s="6">
        <f t="shared" si="62"/>
        <v>54</v>
      </c>
    </row>
    <row r="880" spans="1:10" ht="31.5" x14ac:dyDescent="0.25">
      <c r="A880" s="25" t="s">
        <v>264</v>
      </c>
      <c r="B880" s="20" t="s">
        <v>260</v>
      </c>
      <c r="C880" s="20" t="s">
        <v>231</v>
      </c>
      <c r="D880" s="20" t="s">
        <v>977</v>
      </c>
      <c r="E880" s="20" t="s">
        <v>265</v>
      </c>
      <c r="F880" s="6">
        <f t="shared" si="62"/>
        <v>44</v>
      </c>
      <c r="G880" s="6">
        <f t="shared" si="62"/>
        <v>54</v>
      </c>
    </row>
    <row r="881" spans="1:7" ht="47.25" x14ac:dyDescent="0.25">
      <c r="A881" s="25" t="s">
        <v>266</v>
      </c>
      <c r="B881" s="20" t="s">
        <v>260</v>
      </c>
      <c r="C881" s="20" t="s">
        <v>231</v>
      </c>
      <c r="D881" s="20" t="s">
        <v>977</v>
      </c>
      <c r="E881" s="20" t="s">
        <v>267</v>
      </c>
      <c r="F881" s="6">
        <f>'пр.5.1.ведом.21-22'!G451</f>
        <v>44</v>
      </c>
      <c r="G881" s="6">
        <f>'пр.5.1.ведом.21-22'!H451</f>
        <v>54</v>
      </c>
    </row>
    <row r="882" spans="1:7" ht="47.25" x14ac:dyDescent="0.25">
      <c r="A882" s="23" t="s">
        <v>371</v>
      </c>
      <c r="B882" s="19">
        <v>10</v>
      </c>
      <c r="C882" s="24" t="s">
        <v>231</v>
      </c>
      <c r="D882" s="24" t="s">
        <v>372</v>
      </c>
      <c r="E882" s="24"/>
      <c r="F882" s="4">
        <f t="shared" ref="F882:G882" si="63">F883</f>
        <v>420</v>
      </c>
      <c r="G882" s="4">
        <f t="shared" si="63"/>
        <v>420</v>
      </c>
    </row>
    <row r="883" spans="1:7" ht="47.25" x14ac:dyDescent="0.25">
      <c r="A883" s="23" t="s">
        <v>1148</v>
      </c>
      <c r="B883" s="19">
        <v>10</v>
      </c>
      <c r="C883" s="24" t="s">
        <v>231</v>
      </c>
      <c r="D883" s="24" t="s">
        <v>978</v>
      </c>
      <c r="E883" s="24"/>
      <c r="F883" s="4">
        <f t="shared" ref="F883:G885" si="64">F884</f>
        <v>420</v>
      </c>
      <c r="G883" s="4">
        <f t="shared" si="64"/>
        <v>420</v>
      </c>
    </row>
    <row r="884" spans="1:7" ht="31.5" x14ac:dyDescent="0.25">
      <c r="A884" s="25" t="s">
        <v>1203</v>
      </c>
      <c r="B884" s="20" t="s">
        <v>260</v>
      </c>
      <c r="C884" s="20" t="s">
        <v>231</v>
      </c>
      <c r="D884" s="20" t="s">
        <v>979</v>
      </c>
      <c r="E884" s="20"/>
      <c r="F884" s="6">
        <f t="shared" si="64"/>
        <v>420</v>
      </c>
      <c r="G884" s="6">
        <f t="shared" si="64"/>
        <v>420</v>
      </c>
    </row>
    <row r="885" spans="1:7" ht="31.5" x14ac:dyDescent="0.25">
      <c r="A885" s="25" t="s">
        <v>264</v>
      </c>
      <c r="B885" s="20" t="s">
        <v>260</v>
      </c>
      <c r="C885" s="20" t="s">
        <v>231</v>
      </c>
      <c r="D885" s="20" t="s">
        <v>979</v>
      </c>
      <c r="E885" s="20" t="s">
        <v>265</v>
      </c>
      <c r="F885" s="6">
        <f t="shared" si="64"/>
        <v>420</v>
      </c>
      <c r="G885" s="6">
        <f t="shared" si="64"/>
        <v>420</v>
      </c>
    </row>
    <row r="886" spans="1:7" ht="31.5" x14ac:dyDescent="0.25">
      <c r="A886" s="25" t="s">
        <v>364</v>
      </c>
      <c r="B886" s="20" t="s">
        <v>260</v>
      </c>
      <c r="C886" s="20" t="s">
        <v>231</v>
      </c>
      <c r="D886" s="20" t="s">
        <v>979</v>
      </c>
      <c r="E886" s="20" t="s">
        <v>365</v>
      </c>
      <c r="F886" s="6">
        <f>'пр.5.1.ведом.21-22'!G456</f>
        <v>420</v>
      </c>
      <c r="G886" s="6">
        <f>'пр.5.1.ведом.21-22'!H456</f>
        <v>420</v>
      </c>
    </row>
    <row r="887" spans="1:7" ht="31.5" x14ac:dyDescent="0.25">
      <c r="A887" s="23" t="s">
        <v>374</v>
      </c>
      <c r="B887" s="19">
        <v>10</v>
      </c>
      <c r="C887" s="24" t="s">
        <v>231</v>
      </c>
      <c r="D887" s="24" t="s">
        <v>375</v>
      </c>
      <c r="E887" s="24"/>
      <c r="F887" s="4">
        <f>F888+F892</f>
        <v>1110</v>
      </c>
      <c r="G887" s="4">
        <f>G888+G892</f>
        <v>1110</v>
      </c>
    </row>
    <row r="888" spans="1:7" ht="36" customHeight="1" x14ac:dyDescent="0.25">
      <c r="A888" s="23" t="s">
        <v>1205</v>
      </c>
      <c r="B888" s="24" t="s">
        <v>260</v>
      </c>
      <c r="C888" s="24" t="s">
        <v>231</v>
      </c>
      <c r="D888" s="24" t="s">
        <v>981</v>
      </c>
      <c r="E888" s="24"/>
      <c r="F888" s="4">
        <f t="shared" ref="F888:G890" si="65">F889</f>
        <v>630</v>
      </c>
      <c r="G888" s="4">
        <f t="shared" si="65"/>
        <v>630</v>
      </c>
    </row>
    <row r="889" spans="1:7" ht="63" x14ac:dyDescent="0.25">
      <c r="A889" s="99" t="s">
        <v>1206</v>
      </c>
      <c r="B889" s="20" t="s">
        <v>260</v>
      </c>
      <c r="C889" s="20" t="s">
        <v>231</v>
      </c>
      <c r="D889" s="20" t="s">
        <v>982</v>
      </c>
      <c r="E889" s="20"/>
      <c r="F889" s="6">
        <f t="shared" si="65"/>
        <v>630</v>
      </c>
      <c r="G889" s="6">
        <f t="shared" si="65"/>
        <v>630</v>
      </c>
    </row>
    <row r="890" spans="1:7" ht="31.5" x14ac:dyDescent="0.25">
      <c r="A890" s="25" t="s">
        <v>264</v>
      </c>
      <c r="B890" s="20" t="s">
        <v>260</v>
      </c>
      <c r="C890" s="20" t="s">
        <v>231</v>
      </c>
      <c r="D890" s="20" t="s">
        <v>982</v>
      </c>
      <c r="E890" s="20" t="s">
        <v>265</v>
      </c>
      <c r="F890" s="6">
        <f t="shared" si="65"/>
        <v>630</v>
      </c>
      <c r="G890" s="6">
        <f t="shared" si="65"/>
        <v>630</v>
      </c>
    </row>
    <row r="891" spans="1:7" ht="31.5" x14ac:dyDescent="0.25">
      <c r="A891" s="25" t="s">
        <v>364</v>
      </c>
      <c r="B891" s="20" t="s">
        <v>260</v>
      </c>
      <c r="C891" s="20" t="s">
        <v>231</v>
      </c>
      <c r="D891" s="20" t="s">
        <v>982</v>
      </c>
      <c r="E891" s="20" t="s">
        <v>365</v>
      </c>
      <c r="F891" s="6">
        <f>'пр.5.1.ведом.21-22'!G461</f>
        <v>630</v>
      </c>
      <c r="G891" s="6">
        <f>'пр.5.1.ведом.21-22'!H461</f>
        <v>630</v>
      </c>
    </row>
    <row r="892" spans="1:7" ht="31.5" x14ac:dyDescent="0.25">
      <c r="A892" s="23" t="s">
        <v>980</v>
      </c>
      <c r="B892" s="19">
        <v>10</v>
      </c>
      <c r="C892" s="24" t="s">
        <v>231</v>
      </c>
      <c r="D892" s="24" t="s">
        <v>983</v>
      </c>
      <c r="E892" s="24"/>
      <c r="F892" s="4">
        <f>F893</f>
        <v>480</v>
      </c>
      <c r="G892" s="4">
        <f>G893</f>
        <v>480</v>
      </c>
    </row>
    <row r="893" spans="1:7" ht="31.5" x14ac:dyDescent="0.25">
      <c r="A893" s="25" t="s">
        <v>1149</v>
      </c>
      <c r="B893" s="20" t="s">
        <v>260</v>
      </c>
      <c r="C893" s="20" t="s">
        <v>231</v>
      </c>
      <c r="D893" s="20" t="s">
        <v>984</v>
      </c>
      <c r="E893" s="20"/>
      <c r="F893" s="6">
        <f>F894+F896</f>
        <v>480</v>
      </c>
      <c r="G893" s="6">
        <f>G894+G896</f>
        <v>480</v>
      </c>
    </row>
    <row r="894" spans="1:7" ht="31.5" x14ac:dyDescent="0.25">
      <c r="A894" s="25" t="s">
        <v>147</v>
      </c>
      <c r="B894" s="20" t="s">
        <v>260</v>
      </c>
      <c r="C894" s="20" t="s">
        <v>231</v>
      </c>
      <c r="D894" s="20" t="s">
        <v>984</v>
      </c>
      <c r="E894" s="20" t="s">
        <v>148</v>
      </c>
      <c r="F894" s="6">
        <f>F895</f>
        <v>270</v>
      </c>
      <c r="G894" s="6">
        <f>G895</f>
        <v>270</v>
      </c>
    </row>
    <row r="895" spans="1:7" ht="47.25" x14ac:dyDescent="0.25">
      <c r="A895" s="25" t="s">
        <v>149</v>
      </c>
      <c r="B895" s="20" t="s">
        <v>260</v>
      </c>
      <c r="C895" s="20" t="s">
        <v>231</v>
      </c>
      <c r="D895" s="20" t="s">
        <v>984</v>
      </c>
      <c r="E895" s="20" t="s">
        <v>150</v>
      </c>
      <c r="F895" s="6">
        <f>'пр.5.1.ведом.21-22'!G465</f>
        <v>270</v>
      </c>
      <c r="G895" s="6">
        <f>'пр.5.1.ведом.21-22'!H465</f>
        <v>270</v>
      </c>
    </row>
    <row r="896" spans="1:7" s="217" customFormat="1" ht="31.5" x14ac:dyDescent="0.25">
      <c r="A896" s="25" t="s">
        <v>264</v>
      </c>
      <c r="B896" s="20" t="s">
        <v>260</v>
      </c>
      <c r="C896" s="20" t="s">
        <v>231</v>
      </c>
      <c r="D896" s="20" t="s">
        <v>984</v>
      </c>
      <c r="E896" s="20" t="s">
        <v>265</v>
      </c>
      <c r="F896" s="6">
        <f>F897</f>
        <v>210</v>
      </c>
      <c r="G896" s="6">
        <f>G897</f>
        <v>210</v>
      </c>
    </row>
    <row r="897" spans="1:7" s="217" customFormat="1" ht="31.5" x14ac:dyDescent="0.25">
      <c r="A897" s="25" t="s">
        <v>364</v>
      </c>
      <c r="B897" s="20" t="s">
        <v>260</v>
      </c>
      <c r="C897" s="20" t="s">
        <v>231</v>
      </c>
      <c r="D897" s="20" t="s">
        <v>984</v>
      </c>
      <c r="E897" s="20" t="s">
        <v>365</v>
      </c>
      <c r="F897" s="6">
        <f>'пр.5.1.ведом.21-22'!G467</f>
        <v>210</v>
      </c>
      <c r="G897" s="6">
        <f>'пр.5.1.ведом.21-22'!H467</f>
        <v>210</v>
      </c>
    </row>
    <row r="898" spans="1:7" ht="47.25" x14ac:dyDescent="0.25">
      <c r="A898" s="23" t="s">
        <v>377</v>
      </c>
      <c r="B898" s="24" t="s">
        <v>260</v>
      </c>
      <c r="C898" s="24" t="s">
        <v>231</v>
      </c>
      <c r="D898" s="24" t="s">
        <v>378</v>
      </c>
      <c r="E898" s="24"/>
      <c r="F898" s="4">
        <f t="shared" ref="F898:G899" si="66">F899</f>
        <v>250</v>
      </c>
      <c r="G898" s="4">
        <f t="shared" si="66"/>
        <v>250</v>
      </c>
    </row>
    <row r="899" spans="1:7" ht="47.25" x14ac:dyDescent="0.25">
      <c r="A899" s="23" t="s">
        <v>1208</v>
      </c>
      <c r="B899" s="24" t="s">
        <v>260</v>
      </c>
      <c r="C899" s="24" t="s">
        <v>231</v>
      </c>
      <c r="D899" s="24" t="s">
        <v>986</v>
      </c>
      <c r="E899" s="24"/>
      <c r="F899" s="4">
        <f t="shared" si="66"/>
        <v>250</v>
      </c>
      <c r="G899" s="4">
        <f t="shared" si="66"/>
        <v>250</v>
      </c>
    </row>
    <row r="900" spans="1:7" ht="63" x14ac:dyDescent="0.25">
      <c r="A900" s="25" t="s">
        <v>1207</v>
      </c>
      <c r="B900" s="20" t="s">
        <v>260</v>
      </c>
      <c r="C900" s="20" t="s">
        <v>231</v>
      </c>
      <c r="D900" s="20" t="s">
        <v>985</v>
      </c>
      <c r="E900" s="20"/>
      <c r="F900" s="6">
        <f>F901</f>
        <v>250</v>
      </c>
      <c r="G900" s="6">
        <f>G901</f>
        <v>250</v>
      </c>
    </row>
    <row r="901" spans="1:7" ht="31.5" x14ac:dyDescent="0.25">
      <c r="A901" s="25" t="s">
        <v>264</v>
      </c>
      <c r="B901" s="20" t="s">
        <v>260</v>
      </c>
      <c r="C901" s="20" t="s">
        <v>231</v>
      </c>
      <c r="D901" s="20" t="s">
        <v>985</v>
      </c>
      <c r="E901" s="20" t="s">
        <v>265</v>
      </c>
      <c r="F901" s="6">
        <f>F902</f>
        <v>250</v>
      </c>
      <c r="G901" s="6">
        <f>G902</f>
        <v>250</v>
      </c>
    </row>
    <row r="902" spans="1:7" ht="31.5" x14ac:dyDescent="0.25">
      <c r="A902" s="25" t="s">
        <v>364</v>
      </c>
      <c r="B902" s="20" t="s">
        <v>260</v>
      </c>
      <c r="C902" s="20" t="s">
        <v>231</v>
      </c>
      <c r="D902" s="20" t="s">
        <v>985</v>
      </c>
      <c r="E902" s="20" t="s">
        <v>365</v>
      </c>
      <c r="F902" s="6">
        <f>'пр.5.1.ведом.21-22'!G472</f>
        <v>250</v>
      </c>
      <c r="G902" s="6">
        <f>'пр.5.1.ведом.21-22'!H472</f>
        <v>250</v>
      </c>
    </row>
    <row r="903" spans="1:7" ht="78.75" x14ac:dyDescent="0.25">
      <c r="A903" s="23" t="s">
        <v>1447</v>
      </c>
      <c r="B903" s="24" t="s">
        <v>260</v>
      </c>
      <c r="C903" s="24" t="s">
        <v>231</v>
      </c>
      <c r="D903" s="24" t="s">
        <v>270</v>
      </c>
      <c r="E903" s="24"/>
      <c r="F903" s="4">
        <f t="shared" ref="F903:G903" si="67">F904</f>
        <v>5010</v>
      </c>
      <c r="G903" s="4">
        <f t="shared" si="67"/>
        <v>10</v>
      </c>
    </row>
    <row r="904" spans="1:7" ht="63" x14ac:dyDescent="0.25">
      <c r="A904" s="23" t="s">
        <v>931</v>
      </c>
      <c r="B904" s="24" t="s">
        <v>260</v>
      </c>
      <c r="C904" s="24" t="s">
        <v>231</v>
      </c>
      <c r="D904" s="24" t="s">
        <v>929</v>
      </c>
      <c r="E904" s="24"/>
      <c r="F904" s="4">
        <f>F905+F908</f>
        <v>5010</v>
      </c>
      <c r="G904" s="4">
        <f>G905+G908</f>
        <v>10</v>
      </c>
    </row>
    <row r="905" spans="1:7" ht="31.5" x14ac:dyDescent="0.25">
      <c r="A905" s="25" t="s">
        <v>930</v>
      </c>
      <c r="B905" s="20" t="s">
        <v>260</v>
      </c>
      <c r="C905" s="20" t="s">
        <v>231</v>
      </c>
      <c r="D905" s="20" t="s">
        <v>1470</v>
      </c>
      <c r="E905" s="20"/>
      <c r="F905" s="6">
        <f>F906</f>
        <v>10</v>
      </c>
      <c r="G905" s="6">
        <f>G906</f>
        <v>10</v>
      </c>
    </row>
    <row r="906" spans="1:7" ht="31.5" x14ac:dyDescent="0.25">
      <c r="A906" s="25" t="s">
        <v>264</v>
      </c>
      <c r="B906" s="20" t="s">
        <v>260</v>
      </c>
      <c r="C906" s="20" t="s">
        <v>231</v>
      </c>
      <c r="D906" s="20" t="s">
        <v>1470</v>
      </c>
      <c r="E906" s="20" t="s">
        <v>265</v>
      </c>
      <c r="F906" s="6">
        <f>F907</f>
        <v>10</v>
      </c>
      <c r="G906" s="6">
        <f>G907</f>
        <v>10</v>
      </c>
    </row>
    <row r="907" spans="1:7" ht="47.25" x14ac:dyDescent="0.25">
      <c r="A907" s="25" t="s">
        <v>266</v>
      </c>
      <c r="B907" s="20" t="s">
        <v>260</v>
      </c>
      <c r="C907" s="20" t="s">
        <v>231</v>
      </c>
      <c r="D907" s="20" t="s">
        <v>1470</v>
      </c>
      <c r="E907" s="20" t="s">
        <v>267</v>
      </c>
      <c r="F907" s="6">
        <f>'пр.5.1.ведом.21-22'!G202</f>
        <v>10</v>
      </c>
      <c r="G907" s="6">
        <f>'пр.5.1.ведом.21-22'!H202</f>
        <v>10</v>
      </c>
    </row>
    <row r="908" spans="1:7" s="217" customFormat="1" ht="78.75" x14ac:dyDescent="0.25">
      <c r="A908" s="25" t="s">
        <v>1418</v>
      </c>
      <c r="B908" s="20" t="s">
        <v>260</v>
      </c>
      <c r="C908" s="20" t="s">
        <v>231</v>
      </c>
      <c r="D908" s="20" t="s">
        <v>1417</v>
      </c>
      <c r="E908" s="20"/>
      <c r="F908" s="26">
        <f>F909</f>
        <v>5000</v>
      </c>
      <c r="G908" s="26">
        <f>G909</f>
        <v>0</v>
      </c>
    </row>
    <row r="909" spans="1:7" s="217" customFormat="1" ht="31.5" x14ac:dyDescent="0.25">
      <c r="A909" s="25" t="s">
        <v>264</v>
      </c>
      <c r="B909" s="20" t="s">
        <v>260</v>
      </c>
      <c r="C909" s="20" t="s">
        <v>231</v>
      </c>
      <c r="D909" s="20" t="s">
        <v>1417</v>
      </c>
      <c r="E909" s="20" t="s">
        <v>265</v>
      </c>
      <c r="F909" s="26">
        <f>F910</f>
        <v>5000</v>
      </c>
      <c r="G909" s="26">
        <f>G910</f>
        <v>0</v>
      </c>
    </row>
    <row r="910" spans="1:7" s="217" customFormat="1" ht="47.25" x14ac:dyDescent="0.25">
      <c r="A910" s="25" t="s">
        <v>266</v>
      </c>
      <c r="B910" s="20" t="s">
        <v>260</v>
      </c>
      <c r="C910" s="20" t="s">
        <v>231</v>
      </c>
      <c r="D910" s="20" t="s">
        <v>1417</v>
      </c>
      <c r="E910" s="20" t="s">
        <v>267</v>
      </c>
      <c r="F910" s="26">
        <f>'пр.5.1.ведом.21-22'!G205</f>
        <v>5000</v>
      </c>
      <c r="G910" s="26">
        <f>'пр.5.1.ведом.21-22'!H205</f>
        <v>0</v>
      </c>
    </row>
    <row r="911" spans="1:7" ht="31.5" x14ac:dyDescent="0.25">
      <c r="A911" s="23" t="s">
        <v>274</v>
      </c>
      <c r="B911" s="24" t="s">
        <v>260</v>
      </c>
      <c r="C911" s="24" t="s">
        <v>136</v>
      </c>
      <c r="D911" s="24"/>
      <c r="E911" s="24"/>
      <c r="F911" s="4">
        <f>F912+F919</f>
        <v>3708.4</v>
      </c>
      <c r="G911" s="4">
        <f>G912+G919</f>
        <v>3708.4</v>
      </c>
    </row>
    <row r="912" spans="1:7" ht="31.5" x14ac:dyDescent="0.25">
      <c r="A912" s="23" t="s">
        <v>990</v>
      </c>
      <c r="B912" s="24" t="s">
        <v>260</v>
      </c>
      <c r="C912" s="24" t="s">
        <v>136</v>
      </c>
      <c r="D912" s="24" t="s">
        <v>904</v>
      </c>
      <c r="E912" s="24"/>
      <c r="F912" s="4">
        <f>F913</f>
        <v>3621.4</v>
      </c>
      <c r="G912" s="4">
        <f>G913</f>
        <v>3621.4</v>
      </c>
    </row>
    <row r="913" spans="1:7" ht="47.25" x14ac:dyDescent="0.25">
      <c r="A913" s="23" t="s">
        <v>932</v>
      </c>
      <c r="B913" s="24" t="s">
        <v>260</v>
      </c>
      <c r="C913" s="24" t="s">
        <v>136</v>
      </c>
      <c r="D913" s="24" t="s">
        <v>909</v>
      </c>
      <c r="E913" s="24"/>
      <c r="F913" s="4">
        <f>F914</f>
        <v>3621.4</v>
      </c>
      <c r="G913" s="4">
        <f>G914</f>
        <v>3621.4</v>
      </c>
    </row>
    <row r="914" spans="1:7" ht="63" x14ac:dyDescent="0.25">
      <c r="A914" s="31" t="s">
        <v>275</v>
      </c>
      <c r="B914" s="20" t="s">
        <v>260</v>
      </c>
      <c r="C914" s="20" t="s">
        <v>136</v>
      </c>
      <c r="D914" s="20" t="s">
        <v>998</v>
      </c>
      <c r="E914" s="20"/>
      <c r="F914" s="6">
        <f>F915+F917</f>
        <v>3621.4</v>
      </c>
      <c r="G914" s="6">
        <f>G915+G917</f>
        <v>3621.4</v>
      </c>
    </row>
    <row r="915" spans="1:7" ht="94.5" x14ac:dyDescent="0.25">
      <c r="A915" s="25" t="s">
        <v>143</v>
      </c>
      <c r="B915" s="20" t="s">
        <v>260</v>
      </c>
      <c r="C915" s="20" t="s">
        <v>136</v>
      </c>
      <c r="D915" s="20" t="s">
        <v>998</v>
      </c>
      <c r="E915" s="20" t="s">
        <v>144</v>
      </c>
      <c r="F915" s="6">
        <f>F916</f>
        <v>3353.3</v>
      </c>
      <c r="G915" s="6">
        <f>G916</f>
        <v>3353.3</v>
      </c>
    </row>
    <row r="916" spans="1:7" ht="47.25" x14ac:dyDescent="0.25">
      <c r="A916" s="25" t="s">
        <v>145</v>
      </c>
      <c r="B916" s="20" t="s">
        <v>260</v>
      </c>
      <c r="C916" s="20" t="s">
        <v>136</v>
      </c>
      <c r="D916" s="20" t="s">
        <v>998</v>
      </c>
      <c r="E916" s="20" t="s">
        <v>146</v>
      </c>
      <c r="F916" s="6">
        <f>'пр.5.1.ведом.21-22'!G211</f>
        <v>3353.3</v>
      </c>
      <c r="G916" s="6">
        <f>'пр.5.1.ведом.21-22'!H211</f>
        <v>3353.3</v>
      </c>
    </row>
    <row r="917" spans="1:7" ht="31.5" x14ac:dyDescent="0.25">
      <c r="A917" s="25" t="s">
        <v>147</v>
      </c>
      <c r="B917" s="20" t="s">
        <v>260</v>
      </c>
      <c r="C917" s="20" t="s">
        <v>136</v>
      </c>
      <c r="D917" s="20" t="s">
        <v>998</v>
      </c>
      <c r="E917" s="20" t="s">
        <v>148</v>
      </c>
      <c r="F917" s="6">
        <f>F918</f>
        <v>268.10000000000002</v>
      </c>
      <c r="G917" s="6">
        <f>G918</f>
        <v>268.10000000000002</v>
      </c>
    </row>
    <row r="918" spans="1:7" ht="47.25" x14ac:dyDescent="0.25">
      <c r="A918" s="25" t="s">
        <v>149</v>
      </c>
      <c r="B918" s="20" t="s">
        <v>260</v>
      </c>
      <c r="C918" s="20" t="s">
        <v>136</v>
      </c>
      <c r="D918" s="20" t="s">
        <v>998</v>
      </c>
      <c r="E918" s="20" t="s">
        <v>150</v>
      </c>
      <c r="F918" s="6">
        <f>'пр.5.1.ведом.21-22'!G213</f>
        <v>268.10000000000002</v>
      </c>
      <c r="G918" s="6">
        <f>'пр.5.1.ведом.21-22'!H213</f>
        <v>268.10000000000002</v>
      </c>
    </row>
    <row r="919" spans="1:7" ht="15.75" x14ac:dyDescent="0.25">
      <c r="A919" s="23" t="s">
        <v>157</v>
      </c>
      <c r="B919" s="24" t="s">
        <v>260</v>
      </c>
      <c r="C919" s="24" t="s">
        <v>136</v>
      </c>
      <c r="D919" s="24" t="s">
        <v>912</v>
      </c>
      <c r="E919" s="24"/>
      <c r="F919" s="4">
        <f t="shared" ref="F919:G922" si="68">F920</f>
        <v>87</v>
      </c>
      <c r="G919" s="4">
        <f t="shared" si="68"/>
        <v>87</v>
      </c>
    </row>
    <row r="920" spans="1:7" ht="31.5" x14ac:dyDescent="0.25">
      <c r="A920" s="23" t="s">
        <v>916</v>
      </c>
      <c r="B920" s="24" t="s">
        <v>260</v>
      </c>
      <c r="C920" s="24" t="s">
        <v>136</v>
      </c>
      <c r="D920" s="24" t="s">
        <v>911</v>
      </c>
      <c r="E920" s="24"/>
      <c r="F920" s="4">
        <f t="shared" si="68"/>
        <v>87</v>
      </c>
      <c r="G920" s="4">
        <f t="shared" si="68"/>
        <v>87</v>
      </c>
    </row>
    <row r="921" spans="1:7" ht="15.75" x14ac:dyDescent="0.25">
      <c r="A921" s="25" t="s">
        <v>588</v>
      </c>
      <c r="B921" s="20" t="s">
        <v>260</v>
      </c>
      <c r="C921" s="20" t="s">
        <v>136</v>
      </c>
      <c r="D921" s="20" t="s">
        <v>1133</v>
      </c>
      <c r="E921" s="20"/>
      <c r="F921" s="6">
        <f t="shared" si="68"/>
        <v>87</v>
      </c>
      <c r="G921" s="6">
        <f t="shared" si="68"/>
        <v>87</v>
      </c>
    </row>
    <row r="922" spans="1:7" ht="31.5" x14ac:dyDescent="0.25">
      <c r="A922" s="25" t="s">
        <v>147</v>
      </c>
      <c r="B922" s="20" t="s">
        <v>260</v>
      </c>
      <c r="C922" s="20" t="s">
        <v>136</v>
      </c>
      <c r="D922" s="20" t="s">
        <v>1133</v>
      </c>
      <c r="E922" s="20" t="s">
        <v>148</v>
      </c>
      <c r="F922" s="6">
        <f t="shared" si="68"/>
        <v>87</v>
      </c>
      <c r="G922" s="6">
        <f t="shared" si="68"/>
        <v>87</v>
      </c>
    </row>
    <row r="923" spans="1:7" ht="47.25" x14ac:dyDescent="0.25">
      <c r="A923" s="25" t="s">
        <v>149</v>
      </c>
      <c r="B923" s="20" t="s">
        <v>260</v>
      </c>
      <c r="C923" s="20" t="s">
        <v>136</v>
      </c>
      <c r="D923" s="20" t="s">
        <v>1133</v>
      </c>
      <c r="E923" s="20" t="s">
        <v>150</v>
      </c>
      <c r="F923" s="6">
        <f>'пр.5.1.ведом.21-22'!G1061</f>
        <v>87</v>
      </c>
      <c r="G923" s="6">
        <f>'пр.5.1.ведом.21-22'!H1061</f>
        <v>87</v>
      </c>
    </row>
    <row r="924" spans="1:7" ht="15.75" x14ac:dyDescent="0.25">
      <c r="A924" s="41" t="s">
        <v>506</v>
      </c>
      <c r="B924" s="7" t="s">
        <v>507</v>
      </c>
      <c r="C924" s="40"/>
      <c r="D924" s="40"/>
      <c r="E924" s="40"/>
      <c r="F924" s="4">
        <f>F925+F964</f>
        <v>58483.6</v>
      </c>
      <c r="G924" s="4">
        <f>G925+G964</f>
        <v>58483.6</v>
      </c>
    </row>
    <row r="925" spans="1:7" ht="15.75" x14ac:dyDescent="0.25">
      <c r="A925" s="23" t="s">
        <v>508</v>
      </c>
      <c r="B925" s="24" t="s">
        <v>507</v>
      </c>
      <c r="C925" s="24" t="s">
        <v>134</v>
      </c>
      <c r="D925" s="20"/>
      <c r="E925" s="20"/>
      <c r="F925" s="4">
        <f>F926+F959</f>
        <v>46727.6</v>
      </c>
      <c r="G925" s="4">
        <f>G926+G959</f>
        <v>46727.6</v>
      </c>
    </row>
    <row r="926" spans="1:7" ht="63" x14ac:dyDescent="0.25">
      <c r="A926" s="23" t="s">
        <v>1433</v>
      </c>
      <c r="B926" s="24" t="s">
        <v>507</v>
      </c>
      <c r="C926" s="24" t="s">
        <v>134</v>
      </c>
      <c r="D926" s="24" t="s">
        <v>498</v>
      </c>
      <c r="E926" s="24"/>
      <c r="F926" s="4">
        <f t="shared" ref="F926:G926" si="69">F927</f>
        <v>46187.5</v>
      </c>
      <c r="G926" s="4">
        <f t="shared" si="69"/>
        <v>46187.5</v>
      </c>
    </row>
    <row r="927" spans="1:7" ht="47.25" x14ac:dyDescent="0.25">
      <c r="A927" s="23" t="s">
        <v>1448</v>
      </c>
      <c r="B927" s="24" t="s">
        <v>507</v>
      </c>
      <c r="C927" s="24" t="s">
        <v>134</v>
      </c>
      <c r="D927" s="24" t="s">
        <v>510</v>
      </c>
      <c r="E927" s="24"/>
      <c r="F927" s="4">
        <f>F928+F938+F948+F955</f>
        <v>46187.5</v>
      </c>
      <c r="G927" s="4">
        <f>G928+G938+G948+G955</f>
        <v>46187.5</v>
      </c>
    </row>
    <row r="928" spans="1:7" ht="47.25" x14ac:dyDescent="0.25">
      <c r="A928" s="23" t="s">
        <v>1028</v>
      </c>
      <c r="B928" s="24" t="s">
        <v>507</v>
      </c>
      <c r="C928" s="24" t="s">
        <v>134</v>
      </c>
      <c r="D928" s="24" t="s">
        <v>1061</v>
      </c>
      <c r="E928" s="24"/>
      <c r="F928" s="4">
        <f>F929+F932+F935</f>
        <v>44582</v>
      </c>
      <c r="G928" s="4">
        <f>G929+G932+G935</f>
        <v>44582</v>
      </c>
    </row>
    <row r="929" spans="1:7" ht="63" x14ac:dyDescent="0.25">
      <c r="A929" s="25" t="s">
        <v>837</v>
      </c>
      <c r="B929" s="20" t="s">
        <v>507</v>
      </c>
      <c r="C929" s="20" t="s">
        <v>134</v>
      </c>
      <c r="D929" s="20" t="s">
        <v>1071</v>
      </c>
      <c r="E929" s="20"/>
      <c r="F929" s="6">
        <f>F930</f>
        <v>13108</v>
      </c>
      <c r="G929" s="6">
        <f>G930</f>
        <v>13108</v>
      </c>
    </row>
    <row r="930" spans="1:7" ht="47.25" x14ac:dyDescent="0.25">
      <c r="A930" s="25" t="s">
        <v>288</v>
      </c>
      <c r="B930" s="20" t="s">
        <v>507</v>
      </c>
      <c r="C930" s="20" t="s">
        <v>134</v>
      </c>
      <c r="D930" s="20" t="s">
        <v>1071</v>
      </c>
      <c r="E930" s="20" t="s">
        <v>289</v>
      </c>
      <c r="F930" s="6">
        <f>F931</f>
        <v>13108</v>
      </c>
      <c r="G930" s="6">
        <f>G931</f>
        <v>13108</v>
      </c>
    </row>
    <row r="931" spans="1:7" ht="15.75" x14ac:dyDescent="0.25">
      <c r="A931" s="25" t="s">
        <v>290</v>
      </c>
      <c r="B931" s="20" t="s">
        <v>507</v>
      </c>
      <c r="C931" s="20" t="s">
        <v>134</v>
      </c>
      <c r="D931" s="20" t="s">
        <v>1071</v>
      </c>
      <c r="E931" s="20" t="s">
        <v>291</v>
      </c>
      <c r="F931" s="6">
        <f>'пр.5.1.ведом.21-22'!G788</f>
        <v>13108</v>
      </c>
      <c r="G931" s="6">
        <f>'пр.5.1.ведом.21-22'!H788</f>
        <v>13108</v>
      </c>
    </row>
    <row r="932" spans="1:7" ht="47.25" x14ac:dyDescent="0.25">
      <c r="A932" s="25" t="s">
        <v>858</v>
      </c>
      <c r="B932" s="20" t="s">
        <v>507</v>
      </c>
      <c r="C932" s="20" t="s">
        <v>134</v>
      </c>
      <c r="D932" s="20" t="s">
        <v>1072</v>
      </c>
      <c r="E932" s="20"/>
      <c r="F932" s="6">
        <f>F933</f>
        <v>12897</v>
      </c>
      <c r="G932" s="6">
        <f>G933</f>
        <v>12897</v>
      </c>
    </row>
    <row r="933" spans="1:7" ht="47.25" x14ac:dyDescent="0.25">
      <c r="A933" s="25" t="s">
        <v>288</v>
      </c>
      <c r="B933" s="20" t="s">
        <v>507</v>
      </c>
      <c r="C933" s="20" t="s">
        <v>134</v>
      </c>
      <c r="D933" s="20" t="s">
        <v>1072</v>
      </c>
      <c r="E933" s="20" t="s">
        <v>289</v>
      </c>
      <c r="F933" s="6">
        <f>F934</f>
        <v>12897</v>
      </c>
      <c r="G933" s="6">
        <f>G934</f>
        <v>12897</v>
      </c>
    </row>
    <row r="934" spans="1:7" ht="15.75" x14ac:dyDescent="0.25">
      <c r="A934" s="25" t="s">
        <v>290</v>
      </c>
      <c r="B934" s="20" t="s">
        <v>507</v>
      </c>
      <c r="C934" s="20" t="s">
        <v>134</v>
      </c>
      <c r="D934" s="20" t="s">
        <v>1072</v>
      </c>
      <c r="E934" s="20" t="s">
        <v>291</v>
      </c>
      <c r="F934" s="6">
        <f>'пр.5.1.ведом.21-22'!G791</f>
        <v>12897</v>
      </c>
      <c r="G934" s="6">
        <f>'пр.5.1.ведом.21-22'!H791</f>
        <v>12897</v>
      </c>
    </row>
    <row r="935" spans="1:7" ht="63" x14ac:dyDescent="0.25">
      <c r="A935" s="25" t="s">
        <v>859</v>
      </c>
      <c r="B935" s="20" t="s">
        <v>507</v>
      </c>
      <c r="C935" s="20" t="s">
        <v>134</v>
      </c>
      <c r="D935" s="20" t="s">
        <v>1073</v>
      </c>
      <c r="E935" s="20"/>
      <c r="F935" s="6">
        <f>F936</f>
        <v>18577</v>
      </c>
      <c r="G935" s="6">
        <f>G936</f>
        <v>18577</v>
      </c>
    </row>
    <row r="936" spans="1:7" ht="47.25" x14ac:dyDescent="0.25">
      <c r="A936" s="25" t="s">
        <v>288</v>
      </c>
      <c r="B936" s="20" t="s">
        <v>507</v>
      </c>
      <c r="C936" s="20" t="s">
        <v>134</v>
      </c>
      <c r="D936" s="20" t="s">
        <v>1073</v>
      </c>
      <c r="E936" s="20" t="s">
        <v>289</v>
      </c>
      <c r="F936" s="6">
        <f>F937</f>
        <v>18577</v>
      </c>
      <c r="G936" s="6">
        <f>G937</f>
        <v>18577</v>
      </c>
    </row>
    <row r="937" spans="1:7" ht="15.75" x14ac:dyDescent="0.25">
      <c r="A937" s="25" t="s">
        <v>290</v>
      </c>
      <c r="B937" s="20" t="s">
        <v>507</v>
      </c>
      <c r="C937" s="20" t="s">
        <v>134</v>
      </c>
      <c r="D937" s="20" t="s">
        <v>1073</v>
      </c>
      <c r="E937" s="20" t="s">
        <v>291</v>
      </c>
      <c r="F937" s="6">
        <f>'пр.5.1.ведом.21-22'!G794</f>
        <v>18577</v>
      </c>
      <c r="G937" s="6">
        <f>'пр.5.1.ведом.21-22'!H794</f>
        <v>18577</v>
      </c>
    </row>
    <row r="938" spans="1:7" ht="31.5" x14ac:dyDescent="0.25">
      <c r="A938" s="23" t="s">
        <v>1074</v>
      </c>
      <c r="B938" s="24" t="s">
        <v>507</v>
      </c>
      <c r="C938" s="24" t="s">
        <v>134</v>
      </c>
      <c r="D938" s="24" t="s">
        <v>1075</v>
      </c>
      <c r="E938" s="24"/>
      <c r="F938" s="4">
        <f>F939+F942+F945</f>
        <v>36</v>
      </c>
      <c r="G938" s="4">
        <f>G939+G942+G945</f>
        <v>36</v>
      </c>
    </row>
    <row r="939" spans="1:7" ht="47.25" hidden="1" x14ac:dyDescent="0.25">
      <c r="A939" s="25" t="s">
        <v>294</v>
      </c>
      <c r="B939" s="20" t="s">
        <v>507</v>
      </c>
      <c r="C939" s="20" t="s">
        <v>134</v>
      </c>
      <c r="D939" s="20" t="s">
        <v>1079</v>
      </c>
      <c r="E939" s="20"/>
      <c r="F939" s="6">
        <f>'Пр.3 Рд,пр, ЦС,ВР 20'!F982</f>
        <v>0</v>
      </c>
      <c r="G939" s="6">
        <f>'Пр.3 Рд,пр, ЦС,ВР 20'!G982</f>
        <v>0</v>
      </c>
    </row>
    <row r="940" spans="1:7" ht="47.25" hidden="1" x14ac:dyDescent="0.25">
      <c r="A940" s="25" t="s">
        <v>288</v>
      </c>
      <c r="B940" s="20" t="s">
        <v>507</v>
      </c>
      <c r="C940" s="20" t="s">
        <v>134</v>
      </c>
      <c r="D940" s="20" t="s">
        <v>1079</v>
      </c>
      <c r="E940" s="20" t="s">
        <v>289</v>
      </c>
      <c r="F940" s="6">
        <f>'Пр.3 Рд,пр, ЦС,ВР 20'!F983</f>
        <v>0</v>
      </c>
      <c r="G940" s="6">
        <f>'Пр.3 Рд,пр, ЦС,ВР 20'!G983</f>
        <v>0</v>
      </c>
    </row>
    <row r="941" spans="1:7" ht="15.75" hidden="1" x14ac:dyDescent="0.25">
      <c r="A941" s="25" t="s">
        <v>290</v>
      </c>
      <c r="B941" s="20" t="s">
        <v>507</v>
      </c>
      <c r="C941" s="20" t="s">
        <v>134</v>
      </c>
      <c r="D941" s="20" t="s">
        <v>1079</v>
      </c>
      <c r="E941" s="20" t="s">
        <v>291</v>
      </c>
      <c r="F941" s="6">
        <f>'Пр.3 Рд,пр, ЦС,ВР 20'!F984</f>
        <v>0</v>
      </c>
      <c r="G941" s="6">
        <f>'Пр.3 Рд,пр, ЦС,ВР 20'!G984</f>
        <v>0</v>
      </c>
    </row>
    <row r="942" spans="1:7" ht="31.5" hidden="1" x14ac:dyDescent="0.25">
      <c r="A942" s="25" t="s">
        <v>296</v>
      </c>
      <c r="B942" s="20" t="s">
        <v>507</v>
      </c>
      <c r="C942" s="20" t="s">
        <v>134</v>
      </c>
      <c r="D942" s="20" t="s">
        <v>1080</v>
      </c>
      <c r="E942" s="20"/>
      <c r="F942" s="6">
        <f>'Пр.3 Рд,пр, ЦС,ВР 20'!F985</f>
        <v>0</v>
      </c>
      <c r="G942" s="6">
        <f>'Пр.3 Рд,пр, ЦС,ВР 20'!G985</f>
        <v>0</v>
      </c>
    </row>
    <row r="943" spans="1:7" ht="47.25" hidden="1" x14ac:dyDescent="0.25">
      <c r="A943" s="25" t="s">
        <v>288</v>
      </c>
      <c r="B943" s="20" t="s">
        <v>507</v>
      </c>
      <c r="C943" s="20" t="s">
        <v>134</v>
      </c>
      <c r="D943" s="20" t="s">
        <v>1080</v>
      </c>
      <c r="E943" s="20" t="s">
        <v>289</v>
      </c>
      <c r="F943" s="6">
        <f>'Пр.3 Рд,пр, ЦС,ВР 20'!F986</f>
        <v>0</v>
      </c>
      <c r="G943" s="6">
        <f>'Пр.3 Рд,пр, ЦС,ВР 20'!G986</f>
        <v>0</v>
      </c>
    </row>
    <row r="944" spans="1:7" ht="15.75" hidden="1" x14ac:dyDescent="0.25">
      <c r="A944" s="25" t="s">
        <v>290</v>
      </c>
      <c r="B944" s="20" t="s">
        <v>507</v>
      </c>
      <c r="C944" s="20" t="s">
        <v>134</v>
      </c>
      <c r="D944" s="20" t="s">
        <v>1080</v>
      </c>
      <c r="E944" s="20" t="s">
        <v>291</v>
      </c>
      <c r="F944" s="6">
        <f>'Пр.3 Рд,пр, ЦС,ВР 20'!F987</f>
        <v>0</v>
      </c>
      <c r="G944" s="6">
        <f>'Пр.3 Рд,пр, ЦС,ВР 20'!G987</f>
        <v>0</v>
      </c>
    </row>
    <row r="945" spans="1:7" ht="15.75" x14ac:dyDescent="0.25">
      <c r="A945" s="25" t="s">
        <v>876</v>
      </c>
      <c r="B945" s="20" t="s">
        <v>507</v>
      </c>
      <c r="C945" s="20" t="s">
        <v>134</v>
      </c>
      <c r="D945" s="20" t="s">
        <v>1081</v>
      </c>
      <c r="E945" s="20"/>
      <c r="F945" s="6">
        <f>F946</f>
        <v>36</v>
      </c>
      <c r="G945" s="6">
        <f>G946</f>
        <v>36</v>
      </c>
    </row>
    <row r="946" spans="1:7" ht="47.25" x14ac:dyDescent="0.25">
      <c r="A946" s="25" t="s">
        <v>288</v>
      </c>
      <c r="B946" s="20" t="s">
        <v>507</v>
      </c>
      <c r="C946" s="20" t="s">
        <v>134</v>
      </c>
      <c r="D946" s="20" t="s">
        <v>1081</v>
      </c>
      <c r="E946" s="20" t="s">
        <v>289</v>
      </c>
      <c r="F946" s="6">
        <f>F947</f>
        <v>36</v>
      </c>
      <c r="G946" s="6">
        <f>G947</f>
        <v>36</v>
      </c>
    </row>
    <row r="947" spans="1:7" ht="15.75" x14ac:dyDescent="0.25">
      <c r="A947" s="25" t="s">
        <v>290</v>
      </c>
      <c r="B947" s="20" t="s">
        <v>507</v>
      </c>
      <c r="C947" s="20" t="s">
        <v>134</v>
      </c>
      <c r="D947" s="20" t="s">
        <v>1081</v>
      </c>
      <c r="E947" s="20" t="s">
        <v>291</v>
      </c>
      <c r="F947" s="6">
        <f>'пр.5.1.ведом.21-22'!G804</f>
        <v>36</v>
      </c>
      <c r="G947" s="6">
        <f>'пр.5.1.ведом.21-22'!H804</f>
        <v>36</v>
      </c>
    </row>
    <row r="948" spans="1:7" ht="47.25" x14ac:dyDescent="0.25">
      <c r="A948" s="23" t="s">
        <v>1076</v>
      </c>
      <c r="B948" s="24" t="s">
        <v>507</v>
      </c>
      <c r="C948" s="24" t="s">
        <v>134</v>
      </c>
      <c r="D948" s="24" t="s">
        <v>1078</v>
      </c>
      <c r="E948" s="24"/>
      <c r="F948" s="4">
        <f>F949+F952</f>
        <v>756</v>
      </c>
      <c r="G948" s="4">
        <f>G949+G952</f>
        <v>756</v>
      </c>
    </row>
    <row r="949" spans="1:7" ht="31.5" hidden="1" x14ac:dyDescent="0.25">
      <c r="A949" s="25" t="s">
        <v>817</v>
      </c>
      <c r="B949" s="20" t="s">
        <v>507</v>
      </c>
      <c r="C949" s="20" t="s">
        <v>134</v>
      </c>
      <c r="D949" s="20" t="s">
        <v>1082</v>
      </c>
      <c r="E949" s="20"/>
      <c r="F949" s="6">
        <f>'Пр.3 Рд,пр, ЦС,ВР 20'!F992</f>
        <v>0</v>
      </c>
      <c r="G949" s="6">
        <f>'Пр.3 Рд,пр, ЦС,ВР 20'!G992</f>
        <v>0</v>
      </c>
    </row>
    <row r="950" spans="1:7" ht="47.25" hidden="1" x14ac:dyDescent="0.25">
      <c r="A950" s="25" t="s">
        <v>288</v>
      </c>
      <c r="B950" s="20" t="s">
        <v>507</v>
      </c>
      <c r="C950" s="20" t="s">
        <v>134</v>
      </c>
      <c r="D950" s="20" t="s">
        <v>1082</v>
      </c>
      <c r="E950" s="20" t="s">
        <v>289</v>
      </c>
      <c r="F950" s="6">
        <f>'Пр.3 Рд,пр, ЦС,ВР 20'!F993</f>
        <v>0</v>
      </c>
      <c r="G950" s="6">
        <f>'Пр.3 Рд,пр, ЦС,ВР 20'!G993</f>
        <v>0</v>
      </c>
    </row>
    <row r="951" spans="1:7" ht="15.75" hidden="1" x14ac:dyDescent="0.25">
      <c r="A951" s="25" t="s">
        <v>290</v>
      </c>
      <c r="B951" s="20" t="s">
        <v>507</v>
      </c>
      <c r="C951" s="20" t="s">
        <v>134</v>
      </c>
      <c r="D951" s="20" t="s">
        <v>1082</v>
      </c>
      <c r="E951" s="20" t="s">
        <v>291</v>
      </c>
      <c r="F951" s="6">
        <f>'Пр.3 Рд,пр, ЦС,ВР 20'!F994</f>
        <v>0</v>
      </c>
      <c r="G951" s="6">
        <f>'Пр.3 Рд,пр, ЦС,ВР 20'!G994</f>
        <v>0</v>
      </c>
    </row>
    <row r="952" spans="1:7" ht="47.25" x14ac:dyDescent="0.25">
      <c r="A952" s="45" t="s">
        <v>787</v>
      </c>
      <c r="B952" s="20" t="s">
        <v>507</v>
      </c>
      <c r="C952" s="20" t="s">
        <v>134</v>
      </c>
      <c r="D952" s="20" t="s">
        <v>1083</v>
      </c>
      <c r="E952" s="20"/>
      <c r="F952" s="6">
        <f>F953</f>
        <v>756</v>
      </c>
      <c r="G952" s="6">
        <f>G953</f>
        <v>756</v>
      </c>
    </row>
    <row r="953" spans="1:7" ht="47.25" x14ac:dyDescent="0.25">
      <c r="A953" s="31" t="s">
        <v>288</v>
      </c>
      <c r="B953" s="20" t="s">
        <v>507</v>
      </c>
      <c r="C953" s="20" t="s">
        <v>134</v>
      </c>
      <c r="D953" s="20" t="s">
        <v>1083</v>
      </c>
      <c r="E953" s="20" t="s">
        <v>289</v>
      </c>
      <c r="F953" s="6">
        <f>F954</f>
        <v>756</v>
      </c>
      <c r="G953" s="6">
        <f>G954</f>
        <v>756</v>
      </c>
    </row>
    <row r="954" spans="1:7" ht="15.75" x14ac:dyDescent="0.25">
      <c r="A954" s="31" t="s">
        <v>290</v>
      </c>
      <c r="B954" s="20" t="s">
        <v>507</v>
      </c>
      <c r="C954" s="20" t="s">
        <v>134</v>
      </c>
      <c r="D954" s="20" t="s">
        <v>1083</v>
      </c>
      <c r="E954" s="20" t="s">
        <v>291</v>
      </c>
      <c r="F954" s="6">
        <f>'пр.5.1.ведом.21-22'!G811</f>
        <v>756</v>
      </c>
      <c r="G954" s="6">
        <f>'пр.5.1.ведом.21-22'!H811</f>
        <v>756</v>
      </c>
    </row>
    <row r="955" spans="1:7" ht="63" x14ac:dyDescent="0.25">
      <c r="A955" s="23" t="s">
        <v>971</v>
      </c>
      <c r="B955" s="24" t="s">
        <v>507</v>
      </c>
      <c r="C955" s="24" t="s">
        <v>134</v>
      </c>
      <c r="D955" s="24" t="s">
        <v>1084</v>
      </c>
      <c r="E955" s="24"/>
      <c r="F955" s="4">
        <f t="shared" ref="F955:G957" si="70">F956</f>
        <v>813.5</v>
      </c>
      <c r="G955" s="4">
        <f t="shared" si="70"/>
        <v>813.5</v>
      </c>
    </row>
    <row r="956" spans="1:7" ht="121.7" customHeight="1" x14ac:dyDescent="0.25">
      <c r="A956" s="31" t="s">
        <v>309</v>
      </c>
      <c r="B956" s="20" t="s">
        <v>507</v>
      </c>
      <c r="C956" s="20" t="s">
        <v>134</v>
      </c>
      <c r="D956" s="20" t="s">
        <v>1521</v>
      </c>
      <c r="E956" s="20"/>
      <c r="F956" s="6">
        <f t="shared" si="70"/>
        <v>813.5</v>
      </c>
      <c r="G956" s="6">
        <f t="shared" si="70"/>
        <v>813.5</v>
      </c>
    </row>
    <row r="957" spans="1:7" ht="47.25" x14ac:dyDescent="0.25">
      <c r="A957" s="25" t="s">
        <v>288</v>
      </c>
      <c r="B957" s="20" t="s">
        <v>507</v>
      </c>
      <c r="C957" s="20" t="s">
        <v>134</v>
      </c>
      <c r="D957" s="338" t="s">
        <v>1521</v>
      </c>
      <c r="E957" s="20" t="s">
        <v>289</v>
      </c>
      <c r="F957" s="6">
        <f t="shared" si="70"/>
        <v>813.5</v>
      </c>
      <c r="G957" s="6">
        <f t="shared" si="70"/>
        <v>813.5</v>
      </c>
    </row>
    <row r="958" spans="1:7" ht="15.75" x14ac:dyDescent="0.25">
      <c r="A958" s="25" t="s">
        <v>290</v>
      </c>
      <c r="B958" s="20" t="s">
        <v>507</v>
      </c>
      <c r="C958" s="20" t="s">
        <v>134</v>
      </c>
      <c r="D958" s="338" t="s">
        <v>1521</v>
      </c>
      <c r="E958" s="20" t="s">
        <v>291</v>
      </c>
      <c r="F958" s="6">
        <f>'пр.5.1.ведом.21-22'!G815</f>
        <v>813.5</v>
      </c>
      <c r="G958" s="6">
        <f>'пр.5.1.ведом.21-22'!H815</f>
        <v>813.5</v>
      </c>
    </row>
    <row r="959" spans="1:7" ht="78.75" x14ac:dyDescent="0.25">
      <c r="A959" s="41" t="s">
        <v>1425</v>
      </c>
      <c r="B959" s="24" t="s">
        <v>507</v>
      </c>
      <c r="C959" s="24" t="s">
        <v>134</v>
      </c>
      <c r="D959" s="24" t="s">
        <v>728</v>
      </c>
      <c r="E959" s="235"/>
      <c r="F959" s="4">
        <f t="shared" ref="F959:G959" si="71">F960</f>
        <v>540.1</v>
      </c>
      <c r="G959" s="4">
        <f t="shared" si="71"/>
        <v>540.1</v>
      </c>
    </row>
    <row r="960" spans="1:7" ht="63" x14ac:dyDescent="0.25">
      <c r="A960" s="41" t="s">
        <v>949</v>
      </c>
      <c r="B960" s="24" t="s">
        <v>507</v>
      </c>
      <c r="C960" s="24" t="s">
        <v>134</v>
      </c>
      <c r="D960" s="24" t="s">
        <v>947</v>
      </c>
      <c r="E960" s="235"/>
      <c r="F960" s="4">
        <f t="shared" ref="F960:G962" si="72">F961</f>
        <v>540.1</v>
      </c>
      <c r="G960" s="4">
        <f t="shared" si="72"/>
        <v>540.1</v>
      </c>
    </row>
    <row r="961" spans="1:7" ht="47.25" x14ac:dyDescent="0.25">
      <c r="A961" s="99" t="s">
        <v>803</v>
      </c>
      <c r="B961" s="20" t="s">
        <v>507</v>
      </c>
      <c r="C961" s="20" t="s">
        <v>134</v>
      </c>
      <c r="D961" s="20" t="s">
        <v>1027</v>
      </c>
      <c r="E961" s="32"/>
      <c r="F961" s="6">
        <f t="shared" si="72"/>
        <v>540.1</v>
      </c>
      <c r="G961" s="6">
        <f t="shared" si="72"/>
        <v>540.1</v>
      </c>
    </row>
    <row r="962" spans="1:7" ht="47.25" x14ac:dyDescent="0.25">
      <c r="A962" s="29" t="s">
        <v>288</v>
      </c>
      <c r="B962" s="20" t="s">
        <v>507</v>
      </c>
      <c r="C962" s="20" t="s">
        <v>134</v>
      </c>
      <c r="D962" s="20" t="s">
        <v>1027</v>
      </c>
      <c r="E962" s="32" t="s">
        <v>289</v>
      </c>
      <c r="F962" s="6">
        <f t="shared" si="72"/>
        <v>540.1</v>
      </c>
      <c r="G962" s="6">
        <f t="shared" si="72"/>
        <v>540.1</v>
      </c>
    </row>
    <row r="963" spans="1:7" ht="15.75" x14ac:dyDescent="0.25">
      <c r="A963" s="192" t="s">
        <v>290</v>
      </c>
      <c r="B963" s="20" t="s">
        <v>507</v>
      </c>
      <c r="C963" s="20" t="s">
        <v>134</v>
      </c>
      <c r="D963" s="20" t="s">
        <v>1027</v>
      </c>
      <c r="E963" s="32" t="s">
        <v>291</v>
      </c>
      <c r="F963" s="6">
        <f>'пр.5.1.ведом.21-22'!G820</f>
        <v>540.1</v>
      </c>
      <c r="G963" s="6">
        <f>'пр.5.1.ведом.21-22'!H820</f>
        <v>540.1</v>
      </c>
    </row>
    <row r="964" spans="1:7" ht="31.5" x14ac:dyDescent="0.25">
      <c r="A964" s="23" t="s">
        <v>516</v>
      </c>
      <c r="B964" s="24" t="s">
        <v>507</v>
      </c>
      <c r="C964" s="24" t="s">
        <v>250</v>
      </c>
      <c r="D964" s="24"/>
      <c r="E964" s="24"/>
      <c r="F964" s="4">
        <f>F965+F973+F985</f>
        <v>11756</v>
      </c>
      <c r="G964" s="4">
        <f>G965+G973+G985</f>
        <v>11756</v>
      </c>
    </row>
    <row r="965" spans="1:7" ht="31.5" x14ac:dyDescent="0.25">
      <c r="A965" s="23" t="s">
        <v>990</v>
      </c>
      <c r="B965" s="24" t="s">
        <v>507</v>
      </c>
      <c r="C965" s="24" t="s">
        <v>250</v>
      </c>
      <c r="D965" s="24" t="s">
        <v>904</v>
      </c>
      <c r="E965" s="24"/>
      <c r="F965" s="4">
        <f>F966</f>
        <v>4531</v>
      </c>
      <c r="G965" s="4">
        <f>G966</f>
        <v>4531</v>
      </c>
    </row>
    <row r="966" spans="1:7" ht="15.75" x14ac:dyDescent="0.25">
      <c r="A966" s="23" t="s">
        <v>991</v>
      </c>
      <c r="B966" s="24" t="s">
        <v>507</v>
      </c>
      <c r="C966" s="24" t="s">
        <v>250</v>
      </c>
      <c r="D966" s="24" t="s">
        <v>905</v>
      </c>
      <c r="E966" s="24"/>
      <c r="F966" s="4">
        <f>F967+F970</f>
        <v>4531</v>
      </c>
      <c r="G966" s="4">
        <f>G967+G970</f>
        <v>4531</v>
      </c>
    </row>
    <row r="967" spans="1:7" ht="31.5" x14ac:dyDescent="0.25">
      <c r="A967" s="25" t="s">
        <v>967</v>
      </c>
      <c r="B967" s="20" t="s">
        <v>507</v>
      </c>
      <c r="C967" s="20" t="s">
        <v>250</v>
      </c>
      <c r="D967" s="20" t="s">
        <v>906</v>
      </c>
      <c r="E967" s="20"/>
      <c r="F967" s="6">
        <f>F968</f>
        <v>4447</v>
      </c>
      <c r="G967" s="6">
        <f>G968</f>
        <v>4447</v>
      </c>
    </row>
    <row r="968" spans="1:7" ht="94.5" x14ac:dyDescent="0.25">
      <c r="A968" s="25" t="s">
        <v>143</v>
      </c>
      <c r="B968" s="20" t="s">
        <v>507</v>
      </c>
      <c r="C968" s="20" t="s">
        <v>250</v>
      </c>
      <c r="D968" s="20" t="s">
        <v>906</v>
      </c>
      <c r="E968" s="20" t="s">
        <v>144</v>
      </c>
      <c r="F968" s="6">
        <f>F969</f>
        <v>4447</v>
      </c>
      <c r="G968" s="6">
        <f>G969</f>
        <v>4447</v>
      </c>
    </row>
    <row r="969" spans="1:7" ht="47.25" x14ac:dyDescent="0.25">
      <c r="A969" s="25" t="s">
        <v>145</v>
      </c>
      <c r="B969" s="20" t="s">
        <v>507</v>
      </c>
      <c r="C969" s="20" t="s">
        <v>250</v>
      </c>
      <c r="D969" s="20" t="s">
        <v>906</v>
      </c>
      <c r="E969" s="20" t="s">
        <v>146</v>
      </c>
      <c r="F969" s="6">
        <f>'пр.5.1.ведом.21-22'!G826</f>
        <v>4447</v>
      </c>
      <c r="G969" s="6">
        <f>'пр.5.1.ведом.21-22'!H826</f>
        <v>4447</v>
      </c>
    </row>
    <row r="970" spans="1:7" ht="47.25" x14ac:dyDescent="0.25">
      <c r="A970" s="25" t="s">
        <v>885</v>
      </c>
      <c r="B970" s="20" t="s">
        <v>507</v>
      </c>
      <c r="C970" s="20" t="s">
        <v>250</v>
      </c>
      <c r="D970" s="20" t="s">
        <v>908</v>
      </c>
      <c r="E970" s="20"/>
      <c r="F970" s="6">
        <f>F971</f>
        <v>84</v>
      </c>
      <c r="G970" s="6">
        <f>G971</f>
        <v>84</v>
      </c>
    </row>
    <row r="971" spans="1:7" ht="94.5" x14ac:dyDescent="0.25">
      <c r="A971" s="25" t="s">
        <v>143</v>
      </c>
      <c r="B971" s="20" t="s">
        <v>507</v>
      </c>
      <c r="C971" s="20" t="s">
        <v>250</v>
      </c>
      <c r="D971" s="20" t="s">
        <v>908</v>
      </c>
      <c r="E971" s="20" t="s">
        <v>144</v>
      </c>
      <c r="F971" s="6">
        <f>F972</f>
        <v>84</v>
      </c>
      <c r="G971" s="6">
        <f>G972</f>
        <v>84</v>
      </c>
    </row>
    <row r="972" spans="1:7" ht="47.25" x14ac:dyDescent="0.25">
      <c r="A972" s="25" t="s">
        <v>145</v>
      </c>
      <c r="B972" s="20" t="s">
        <v>507</v>
      </c>
      <c r="C972" s="20" t="s">
        <v>250</v>
      </c>
      <c r="D972" s="20" t="s">
        <v>908</v>
      </c>
      <c r="E972" s="20" t="s">
        <v>146</v>
      </c>
      <c r="F972" s="6">
        <f>'пр.5.1.ведом.21-22'!G829</f>
        <v>84</v>
      </c>
      <c r="G972" s="6">
        <f>'пр.5.1.ведом.21-22'!H829</f>
        <v>84</v>
      </c>
    </row>
    <row r="973" spans="1:7" ht="15.75" x14ac:dyDescent="0.25">
      <c r="A973" s="23" t="s">
        <v>157</v>
      </c>
      <c r="B973" s="24" t="s">
        <v>507</v>
      </c>
      <c r="C973" s="24" t="s">
        <v>250</v>
      </c>
      <c r="D973" s="24" t="s">
        <v>912</v>
      </c>
      <c r="E973" s="24"/>
      <c r="F973" s="4">
        <f>F974</f>
        <v>5225</v>
      </c>
      <c r="G973" s="4">
        <f>G974</f>
        <v>5225</v>
      </c>
    </row>
    <row r="974" spans="1:7" ht="47.25" x14ac:dyDescent="0.25">
      <c r="A974" s="23" t="s">
        <v>1002</v>
      </c>
      <c r="B974" s="24" t="s">
        <v>507</v>
      </c>
      <c r="C974" s="24" t="s">
        <v>250</v>
      </c>
      <c r="D974" s="24" t="s">
        <v>987</v>
      </c>
      <c r="E974" s="24"/>
      <c r="F974" s="4">
        <f>F975+F982</f>
        <v>5225</v>
      </c>
      <c r="G974" s="4">
        <f>G975+G982</f>
        <v>5225</v>
      </c>
    </row>
    <row r="975" spans="1:7" ht="31.5" x14ac:dyDescent="0.25">
      <c r="A975" s="25" t="s">
        <v>974</v>
      </c>
      <c r="B975" s="20" t="s">
        <v>507</v>
      </c>
      <c r="C975" s="20" t="s">
        <v>250</v>
      </c>
      <c r="D975" s="20" t="s">
        <v>988</v>
      </c>
      <c r="E975" s="20"/>
      <c r="F975" s="6">
        <f>F978+F980+F976</f>
        <v>5015</v>
      </c>
      <c r="G975" s="6">
        <f>G978+G980+G976</f>
        <v>5015</v>
      </c>
    </row>
    <row r="976" spans="1:7" ht="94.5" x14ac:dyDescent="0.25">
      <c r="A976" s="25" t="s">
        <v>143</v>
      </c>
      <c r="B976" s="20" t="s">
        <v>507</v>
      </c>
      <c r="C976" s="20" t="s">
        <v>250</v>
      </c>
      <c r="D976" s="20" t="s">
        <v>988</v>
      </c>
      <c r="E976" s="20" t="s">
        <v>144</v>
      </c>
      <c r="F976" s="6">
        <f>F977</f>
        <v>4454</v>
      </c>
      <c r="G976" s="6">
        <f>G977</f>
        <v>4454</v>
      </c>
    </row>
    <row r="977" spans="1:7" ht="31.5" x14ac:dyDescent="0.25">
      <c r="A977" s="25" t="s">
        <v>358</v>
      </c>
      <c r="B977" s="20" t="s">
        <v>507</v>
      </c>
      <c r="C977" s="20" t="s">
        <v>250</v>
      </c>
      <c r="D977" s="20" t="s">
        <v>988</v>
      </c>
      <c r="E977" s="20" t="s">
        <v>225</v>
      </c>
      <c r="F977" s="6">
        <f>'пр.5.1.ведом.21-22'!G834</f>
        <v>4454</v>
      </c>
      <c r="G977" s="6">
        <f>'пр.5.1.ведом.21-22'!H834</f>
        <v>4454</v>
      </c>
    </row>
    <row r="978" spans="1:7" ht="31.5" x14ac:dyDescent="0.25">
      <c r="A978" s="25" t="s">
        <v>147</v>
      </c>
      <c r="B978" s="20" t="s">
        <v>507</v>
      </c>
      <c r="C978" s="20" t="s">
        <v>250</v>
      </c>
      <c r="D978" s="20" t="s">
        <v>988</v>
      </c>
      <c r="E978" s="20" t="s">
        <v>148</v>
      </c>
      <c r="F978" s="6">
        <f>F979</f>
        <v>510</v>
      </c>
      <c r="G978" s="6">
        <f>G979</f>
        <v>510</v>
      </c>
    </row>
    <row r="979" spans="1:7" ht="47.25" x14ac:dyDescent="0.25">
      <c r="A979" s="25" t="s">
        <v>149</v>
      </c>
      <c r="B979" s="20" t="s">
        <v>507</v>
      </c>
      <c r="C979" s="20" t="s">
        <v>250</v>
      </c>
      <c r="D979" s="20" t="s">
        <v>988</v>
      </c>
      <c r="E979" s="20" t="s">
        <v>150</v>
      </c>
      <c r="F979" s="6">
        <f>'пр.5.1.ведом.21-22'!G836</f>
        <v>510</v>
      </c>
      <c r="G979" s="6">
        <f>'пр.5.1.ведом.21-22'!H836</f>
        <v>510</v>
      </c>
    </row>
    <row r="980" spans="1:7" ht="15.75" x14ac:dyDescent="0.25">
      <c r="A980" s="25" t="s">
        <v>151</v>
      </c>
      <c r="B980" s="20" t="s">
        <v>507</v>
      </c>
      <c r="C980" s="20" t="s">
        <v>250</v>
      </c>
      <c r="D980" s="20" t="s">
        <v>988</v>
      </c>
      <c r="E980" s="20" t="s">
        <v>161</v>
      </c>
      <c r="F980" s="6">
        <f>F981</f>
        <v>51</v>
      </c>
      <c r="G980" s="6">
        <f>G981</f>
        <v>51</v>
      </c>
    </row>
    <row r="981" spans="1:7" ht="31.5" x14ac:dyDescent="0.25">
      <c r="A981" s="25" t="s">
        <v>584</v>
      </c>
      <c r="B981" s="20" t="s">
        <v>507</v>
      </c>
      <c r="C981" s="20" t="s">
        <v>250</v>
      </c>
      <c r="D981" s="20" t="s">
        <v>988</v>
      </c>
      <c r="E981" s="20" t="s">
        <v>154</v>
      </c>
      <c r="F981" s="6">
        <f>'пр.5.1.ведом.21-22'!G838</f>
        <v>51</v>
      </c>
      <c r="G981" s="6">
        <f>'пр.5.1.ведом.21-22'!H838</f>
        <v>51</v>
      </c>
    </row>
    <row r="982" spans="1:7" ht="47.25" x14ac:dyDescent="0.25">
      <c r="A982" s="25" t="s">
        <v>885</v>
      </c>
      <c r="B982" s="20" t="s">
        <v>507</v>
      </c>
      <c r="C982" s="20" t="s">
        <v>250</v>
      </c>
      <c r="D982" s="20" t="s">
        <v>989</v>
      </c>
      <c r="E982" s="20"/>
      <c r="F982" s="6">
        <f>F983</f>
        <v>210</v>
      </c>
      <c r="G982" s="6">
        <f>G983</f>
        <v>210</v>
      </c>
    </row>
    <row r="983" spans="1:7" ht="94.5" x14ac:dyDescent="0.25">
      <c r="A983" s="25" t="s">
        <v>143</v>
      </c>
      <c r="B983" s="20" t="s">
        <v>507</v>
      </c>
      <c r="C983" s="20" t="s">
        <v>250</v>
      </c>
      <c r="D983" s="20" t="s">
        <v>989</v>
      </c>
      <c r="E983" s="20" t="s">
        <v>144</v>
      </c>
      <c r="F983" s="6">
        <f>F984</f>
        <v>210</v>
      </c>
      <c r="G983" s="6">
        <f>G984</f>
        <v>210</v>
      </c>
    </row>
    <row r="984" spans="1:7" ht="47.25" x14ac:dyDescent="0.25">
      <c r="A984" s="25" t="s">
        <v>145</v>
      </c>
      <c r="B984" s="20" t="s">
        <v>507</v>
      </c>
      <c r="C984" s="20" t="s">
        <v>250</v>
      </c>
      <c r="D984" s="20" t="s">
        <v>989</v>
      </c>
      <c r="E984" s="20" t="s">
        <v>146</v>
      </c>
      <c r="F984" s="6">
        <f>'пр.5.1.ведом.21-22'!G841</f>
        <v>210</v>
      </c>
      <c r="G984" s="6">
        <f>'пр.5.1.ведом.21-22'!H841</f>
        <v>210</v>
      </c>
    </row>
    <row r="985" spans="1:7" ht="63" x14ac:dyDescent="0.25">
      <c r="A985" s="41" t="s">
        <v>1433</v>
      </c>
      <c r="B985" s="24" t="s">
        <v>507</v>
      </c>
      <c r="C985" s="24" t="s">
        <v>250</v>
      </c>
      <c r="D985" s="7" t="s">
        <v>498</v>
      </c>
      <c r="E985" s="24"/>
      <c r="F985" s="4">
        <f t="shared" ref="F985:G987" si="73">F986</f>
        <v>2000</v>
      </c>
      <c r="G985" s="4">
        <f t="shared" si="73"/>
        <v>2000</v>
      </c>
    </row>
    <row r="986" spans="1:7" ht="47.25" x14ac:dyDescent="0.25">
      <c r="A986" s="58" t="s">
        <v>1449</v>
      </c>
      <c r="B986" s="24" t="s">
        <v>507</v>
      </c>
      <c r="C986" s="24" t="s">
        <v>250</v>
      </c>
      <c r="D986" s="7" t="s">
        <v>518</v>
      </c>
      <c r="E986" s="24"/>
      <c r="F986" s="4">
        <f t="shared" si="73"/>
        <v>2000</v>
      </c>
      <c r="G986" s="4">
        <f t="shared" si="73"/>
        <v>2000</v>
      </c>
    </row>
    <row r="987" spans="1:7" ht="47.25" x14ac:dyDescent="0.25">
      <c r="A987" s="58" t="s">
        <v>1086</v>
      </c>
      <c r="B987" s="24" t="s">
        <v>507</v>
      </c>
      <c r="C987" s="24" t="s">
        <v>250</v>
      </c>
      <c r="D987" s="7" t="s">
        <v>1087</v>
      </c>
      <c r="E987" s="24"/>
      <c r="F987" s="4">
        <f t="shared" si="73"/>
        <v>2000</v>
      </c>
      <c r="G987" s="4">
        <f t="shared" si="73"/>
        <v>2000</v>
      </c>
    </row>
    <row r="988" spans="1:7" ht="31.5" x14ac:dyDescent="0.25">
      <c r="A988" s="29" t="s">
        <v>1088</v>
      </c>
      <c r="B988" s="20" t="s">
        <v>507</v>
      </c>
      <c r="C988" s="20" t="s">
        <v>250</v>
      </c>
      <c r="D988" s="40" t="s">
        <v>1236</v>
      </c>
      <c r="E988" s="20"/>
      <c r="F988" s="6">
        <f>F989+F991</f>
        <v>2000</v>
      </c>
      <c r="G988" s="6">
        <f>G989+G991</f>
        <v>2000</v>
      </c>
    </row>
    <row r="989" spans="1:7" ht="94.5" x14ac:dyDescent="0.25">
      <c r="A989" s="25" t="s">
        <v>143</v>
      </c>
      <c r="B989" s="20" t="s">
        <v>507</v>
      </c>
      <c r="C989" s="20" t="s">
        <v>250</v>
      </c>
      <c r="D989" s="40" t="s">
        <v>1236</v>
      </c>
      <c r="E989" s="20" t="s">
        <v>144</v>
      </c>
      <c r="F989" s="6">
        <f>F990</f>
        <v>1500</v>
      </c>
      <c r="G989" s="6">
        <f>G990</f>
        <v>1500</v>
      </c>
    </row>
    <row r="990" spans="1:7" ht="31.5" x14ac:dyDescent="0.25">
      <c r="A990" s="25" t="s">
        <v>358</v>
      </c>
      <c r="B990" s="20" t="s">
        <v>507</v>
      </c>
      <c r="C990" s="20" t="s">
        <v>250</v>
      </c>
      <c r="D990" s="40" t="s">
        <v>1236</v>
      </c>
      <c r="E990" s="20" t="s">
        <v>225</v>
      </c>
      <c r="F990" s="6">
        <f>'пр.5.1.ведом.21-22'!G847</f>
        <v>1500</v>
      </c>
      <c r="G990" s="6">
        <f>'пр.5.1.ведом.21-22'!H847</f>
        <v>1500</v>
      </c>
    </row>
    <row r="991" spans="1:7" ht="31.5" x14ac:dyDescent="0.25">
      <c r="A991" s="29" t="s">
        <v>147</v>
      </c>
      <c r="B991" s="20" t="s">
        <v>507</v>
      </c>
      <c r="C991" s="20" t="s">
        <v>250</v>
      </c>
      <c r="D991" s="40" t="s">
        <v>1236</v>
      </c>
      <c r="E991" s="20" t="s">
        <v>148</v>
      </c>
      <c r="F991" s="6">
        <f>F992</f>
        <v>500</v>
      </c>
      <c r="G991" s="6">
        <f>G992</f>
        <v>500</v>
      </c>
    </row>
    <row r="992" spans="1:7" ht="47.25" x14ac:dyDescent="0.25">
      <c r="A992" s="29" t="s">
        <v>149</v>
      </c>
      <c r="B992" s="20" t="s">
        <v>507</v>
      </c>
      <c r="C992" s="20" t="s">
        <v>250</v>
      </c>
      <c r="D992" s="40" t="s">
        <v>1236</v>
      </c>
      <c r="E992" s="20" t="s">
        <v>150</v>
      </c>
      <c r="F992" s="6">
        <f>'пр.5.1.ведом.21-22'!G849</f>
        <v>500</v>
      </c>
      <c r="G992" s="6">
        <f>'пр.5.1.ведом.21-22'!H849</f>
        <v>500</v>
      </c>
    </row>
    <row r="993" spans="1:7" ht="15.75" x14ac:dyDescent="0.25">
      <c r="A993" s="41" t="s">
        <v>598</v>
      </c>
      <c r="B993" s="7" t="s">
        <v>254</v>
      </c>
      <c r="C993" s="40"/>
      <c r="D993" s="40"/>
      <c r="E993" s="40"/>
      <c r="F993" s="4">
        <f t="shared" ref="F993:G993" si="74">F994</f>
        <v>5479</v>
      </c>
      <c r="G993" s="4">
        <f t="shared" si="74"/>
        <v>5479</v>
      </c>
    </row>
    <row r="994" spans="1:7" ht="15.75" x14ac:dyDescent="0.25">
      <c r="A994" s="41" t="s">
        <v>599</v>
      </c>
      <c r="B994" s="7" t="s">
        <v>254</v>
      </c>
      <c r="C994" s="7" t="s">
        <v>229</v>
      </c>
      <c r="D994" s="7"/>
      <c r="E994" s="7"/>
      <c r="F994" s="4">
        <f>F995+F1007</f>
        <v>5479</v>
      </c>
      <c r="G994" s="4">
        <f>G995+G1007</f>
        <v>5479</v>
      </c>
    </row>
    <row r="995" spans="1:7" ht="15.75" x14ac:dyDescent="0.25">
      <c r="A995" s="23" t="s">
        <v>157</v>
      </c>
      <c r="B995" s="24" t="s">
        <v>254</v>
      </c>
      <c r="C995" s="24" t="s">
        <v>229</v>
      </c>
      <c r="D995" s="24" t="s">
        <v>912</v>
      </c>
      <c r="E995" s="24"/>
      <c r="F995" s="4">
        <f>F996</f>
        <v>5419</v>
      </c>
      <c r="G995" s="4">
        <f>G996</f>
        <v>5419</v>
      </c>
    </row>
    <row r="996" spans="1:7" ht="15.75" x14ac:dyDescent="0.25">
      <c r="A996" s="23" t="s">
        <v>1090</v>
      </c>
      <c r="B996" s="24" t="s">
        <v>254</v>
      </c>
      <c r="C996" s="24" t="s">
        <v>229</v>
      </c>
      <c r="D996" s="24" t="s">
        <v>1089</v>
      </c>
      <c r="E996" s="24"/>
      <c r="F996" s="4">
        <f>F997+F1004</f>
        <v>5419</v>
      </c>
      <c r="G996" s="4">
        <f>G997+G1004</f>
        <v>5419</v>
      </c>
    </row>
    <row r="997" spans="1:7" ht="31.5" x14ac:dyDescent="0.25">
      <c r="A997" s="25" t="s">
        <v>834</v>
      </c>
      <c r="B997" s="20" t="s">
        <v>254</v>
      </c>
      <c r="C997" s="20" t="s">
        <v>229</v>
      </c>
      <c r="D997" s="20" t="s">
        <v>1091</v>
      </c>
      <c r="E997" s="20"/>
      <c r="F997" s="6">
        <f>F998+F1000+F1002</f>
        <v>5209</v>
      </c>
      <c r="G997" s="6">
        <f>G998+G1000+G1002</f>
        <v>5209</v>
      </c>
    </row>
    <row r="998" spans="1:7" ht="94.5" x14ac:dyDescent="0.25">
      <c r="A998" s="25" t="s">
        <v>143</v>
      </c>
      <c r="B998" s="20" t="s">
        <v>254</v>
      </c>
      <c r="C998" s="20" t="s">
        <v>229</v>
      </c>
      <c r="D998" s="20" t="s">
        <v>1091</v>
      </c>
      <c r="E998" s="20" t="s">
        <v>144</v>
      </c>
      <c r="F998" s="6">
        <f>F999</f>
        <v>4500</v>
      </c>
      <c r="G998" s="6">
        <f>G999</f>
        <v>4500</v>
      </c>
    </row>
    <row r="999" spans="1:7" ht="31.5" x14ac:dyDescent="0.25">
      <c r="A999" s="25" t="s">
        <v>224</v>
      </c>
      <c r="B999" s="20" t="s">
        <v>254</v>
      </c>
      <c r="C999" s="20" t="s">
        <v>229</v>
      </c>
      <c r="D999" s="20" t="s">
        <v>1091</v>
      </c>
      <c r="E999" s="20" t="s">
        <v>225</v>
      </c>
      <c r="F999" s="6">
        <f>'пр.5.1.ведом.21-22'!G479</f>
        <v>4500</v>
      </c>
      <c r="G999" s="6">
        <f>'пр.5.1.ведом.21-22'!H479</f>
        <v>4500</v>
      </c>
    </row>
    <row r="1000" spans="1:7" ht="31.5" x14ac:dyDescent="0.25">
      <c r="A1000" s="25" t="s">
        <v>147</v>
      </c>
      <c r="B1000" s="20" t="s">
        <v>254</v>
      </c>
      <c r="C1000" s="20" t="s">
        <v>229</v>
      </c>
      <c r="D1000" s="20" t="s">
        <v>1091</v>
      </c>
      <c r="E1000" s="20" t="s">
        <v>148</v>
      </c>
      <c r="F1000" s="6">
        <f>F1001</f>
        <v>659</v>
      </c>
      <c r="G1000" s="6">
        <f>G1001</f>
        <v>659</v>
      </c>
    </row>
    <row r="1001" spans="1:7" ht="47.25" x14ac:dyDescent="0.25">
      <c r="A1001" s="25" t="s">
        <v>149</v>
      </c>
      <c r="B1001" s="20" t="s">
        <v>254</v>
      </c>
      <c r="C1001" s="20" t="s">
        <v>229</v>
      </c>
      <c r="D1001" s="20" t="s">
        <v>1091</v>
      </c>
      <c r="E1001" s="20" t="s">
        <v>150</v>
      </c>
      <c r="F1001" s="6">
        <f>'пр.5.1.ведом.21-22'!G481</f>
        <v>659</v>
      </c>
      <c r="G1001" s="6">
        <f>'пр.5.1.ведом.21-22'!H481</f>
        <v>659</v>
      </c>
    </row>
    <row r="1002" spans="1:7" ht="15.75" x14ac:dyDescent="0.25">
      <c r="A1002" s="25" t="s">
        <v>151</v>
      </c>
      <c r="B1002" s="20" t="s">
        <v>254</v>
      </c>
      <c r="C1002" s="20" t="s">
        <v>229</v>
      </c>
      <c r="D1002" s="20" t="s">
        <v>1091</v>
      </c>
      <c r="E1002" s="20" t="s">
        <v>161</v>
      </c>
      <c r="F1002" s="6">
        <f>F1003</f>
        <v>50</v>
      </c>
      <c r="G1002" s="6">
        <f>G1003</f>
        <v>50</v>
      </c>
    </row>
    <row r="1003" spans="1:7" ht="24.75" customHeight="1" x14ac:dyDescent="0.25">
      <c r="A1003" s="25" t="s">
        <v>584</v>
      </c>
      <c r="B1003" s="20" t="s">
        <v>254</v>
      </c>
      <c r="C1003" s="20" t="s">
        <v>229</v>
      </c>
      <c r="D1003" s="20" t="s">
        <v>1091</v>
      </c>
      <c r="E1003" s="20" t="s">
        <v>154</v>
      </c>
      <c r="F1003" s="6">
        <f>'пр.5.1.ведом.21-22'!G483</f>
        <v>50</v>
      </c>
      <c r="G1003" s="6">
        <f>'пр.5.1.ведом.21-22'!H483</f>
        <v>50</v>
      </c>
    </row>
    <row r="1004" spans="1:7" ht="47.25" x14ac:dyDescent="0.25">
      <c r="A1004" s="25" t="s">
        <v>885</v>
      </c>
      <c r="B1004" s="20" t="s">
        <v>254</v>
      </c>
      <c r="C1004" s="20" t="s">
        <v>229</v>
      </c>
      <c r="D1004" s="20" t="s">
        <v>1092</v>
      </c>
      <c r="E1004" s="20"/>
      <c r="F1004" s="6">
        <f>F1005</f>
        <v>210</v>
      </c>
      <c r="G1004" s="6">
        <f>G1005</f>
        <v>210</v>
      </c>
    </row>
    <row r="1005" spans="1:7" ht="94.5" x14ac:dyDescent="0.25">
      <c r="A1005" s="25" t="s">
        <v>143</v>
      </c>
      <c r="B1005" s="20" t="s">
        <v>254</v>
      </c>
      <c r="C1005" s="20" t="s">
        <v>229</v>
      </c>
      <c r="D1005" s="20" t="s">
        <v>1092</v>
      </c>
      <c r="E1005" s="20" t="s">
        <v>144</v>
      </c>
      <c r="F1005" s="6">
        <f>F1006</f>
        <v>210</v>
      </c>
      <c r="G1005" s="6">
        <f>G1006</f>
        <v>210</v>
      </c>
    </row>
    <row r="1006" spans="1:7" ht="47.25" x14ac:dyDescent="0.25">
      <c r="A1006" s="25" t="s">
        <v>145</v>
      </c>
      <c r="B1006" s="20" t="s">
        <v>254</v>
      </c>
      <c r="C1006" s="20" t="s">
        <v>229</v>
      </c>
      <c r="D1006" s="20" t="s">
        <v>1092</v>
      </c>
      <c r="E1006" s="20" t="s">
        <v>225</v>
      </c>
      <c r="F1006" s="6">
        <f>'пр.5.1.ведом.21-22'!G486</f>
        <v>210</v>
      </c>
      <c r="G1006" s="6">
        <f>'пр.5.1.ведом.21-22'!H486</f>
        <v>210</v>
      </c>
    </row>
    <row r="1007" spans="1:7" ht="78.75" x14ac:dyDescent="0.25">
      <c r="A1007" s="41" t="s">
        <v>1425</v>
      </c>
      <c r="B1007" s="24" t="s">
        <v>254</v>
      </c>
      <c r="C1007" s="24" t="s">
        <v>229</v>
      </c>
      <c r="D1007" s="24" t="s">
        <v>728</v>
      </c>
      <c r="E1007" s="235"/>
      <c r="F1007" s="4">
        <f t="shared" ref="F1007:G1010" si="75">F1008</f>
        <v>60</v>
      </c>
      <c r="G1007" s="4">
        <f t="shared" si="75"/>
        <v>60</v>
      </c>
    </row>
    <row r="1008" spans="1:7" ht="63" x14ac:dyDescent="0.25">
      <c r="A1008" s="41" t="s">
        <v>949</v>
      </c>
      <c r="B1008" s="24" t="s">
        <v>254</v>
      </c>
      <c r="C1008" s="24" t="s">
        <v>229</v>
      </c>
      <c r="D1008" s="24" t="s">
        <v>947</v>
      </c>
      <c r="E1008" s="235"/>
      <c r="F1008" s="4">
        <f t="shared" si="75"/>
        <v>60</v>
      </c>
      <c r="G1008" s="4">
        <f t="shared" si="75"/>
        <v>60</v>
      </c>
    </row>
    <row r="1009" spans="1:7" ht="47.25" x14ac:dyDescent="0.25">
      <c r="A1009" s="99" t="s">
        <v>1157</v>
      </c>
      <c r="B1009" s="20" t="s">
        <v>254</v>
      </c>
      <c r="C1009" s="20" t="s">
        <v>229</v>
      </c>
      <c r="D1009" s="20" t="s">
        <v>948</v>
      </c>
      <c r="E1009" s="32"/>
      <c r="F1009" s="6">
        <f t="shared" si="75"/>
        <v>60</v>
      </c>
      <c r="G1009" s="6">
        <f t="shared" si="75"/>
        <v>60</v>
      </c>
    </row>
    <row r="1010" spans="1:7" ht="31.5" x14ac:dyDescent="0.25">
      <c r="A1010" s="25" t="s">
        <v>147</v>
      </c>
      <c r="B1010" s="20" t="s">
        <v>254</v>
      </c>
      <c r="C1010" s="20" t="s">
        <v>229</v>
      </c>
      <c r="D1010" s="20" t="s">
        <v>948</v>
      </c>
      <c r="E1010" s="32" t="s">
        <v>148</v>
      </c>
      <c r="F1010" s="6">
        <f t="shared" si="75"/>
        <v>60</v>
      </c>
      <c r="G1010" s="6">
        <f t="shared" si="75"/>
        <v>60</v>
      </c>
    </row>
    <row r="1011" spans="1:7" ht="47.25" x14ac:dyDescent="0.25">
      <c r="A1011" s="25" t="s">
        <v>149</v>
      </c>
      <c r="B1011" s="20" t="s">
        <v>254</v>
      </c>
      <c r="C1011" s="20" t="s">
        <v>229</v>
      </c>
      <c r="D1011" s="20" t="s">
        <v>948</v>
      </c>
      <c r="E1011" s="32" t="s">
        <v>150</v>
      </c>
      <c r="F1011" s="6">
        <f>'пр.5.1.ведом.21-22'!G491</f>
        <v>60</v>
      </c>
      <c r="G1011" s="6">
        <f>'пр.5.1.ведом.21-22'!H491</f>
        <v>60</v>
      </c>
    </row>
    <row r="1012" spans="1:7" ht="15.75" x14ac:dyDescent="0.25">
      <c r="A1012" s="61" t="s">
        <v>603</v>
      </c>
      <c r="B1012" s="7"/>
      <c r="C1012" s="7"/>
      <c r="D1012" s="7"/>
      <c r="E1012" s="7"/>
      <c r="F1012" s="312">
        <f>F8+F222+F241+F316+F479+F765+F924+F993+F868</f>
        <v>732085.63199999998</v>
      </c>
      <c r="G1012" s="312">
        <f>G8+G222+G241+G316+G479+G765+G924+G993+G868</f>
        <v>735832.82</v>
      </c>
    </row>
    <row r="1013" spans="1:7" ht="15.75" hidden="1" x14ac:dyDescent="0.25">
      <c r="A1013" s="217"/>
      <c r="B1013" s="217"/>
      <c r="C1013" s="217"/>
      <c r="D1013" s="217"/>
      <c r="E1013" s="217"/>
      <c r="F1013" s="4">
        <f>'пр.5.1.ведом.21-22'!G1105</f>
        <v>732085.63199999987</v>
      </c>
      <c r="G1013" s="4">
        <f>'пр.5.1.ведом.21-22'!H1105</f>
        <v>735832.82</v>
      </c>
    </row>
    <row r="1014" spans="1:7" ht="15.75" hidden="1" x14ac:dyDescent="0.25">
      <c r="A1014" s="217"/>
      <c r="B1014" s="217"/>
      <c r="C1014" s="217"/>
      <c r="D1014" s="217"/>
      <c r="E1014" s="217"/>
      <c r="F1014" s="4">
        <f>'Пр.3 Рд,пр, ЦС,ВР 20'!F1071</f>
        <v>0</v>
      </c>
      <c r="G1014" s="4">
        <f t="shared" ref="G1014" si="76">F1014</f>
        <v>0</v>
      </c>
    </row>
    <row r="1016" spans="1:7" hidden="1" x14ac:dyDescent="0.25">
      <c r="F1016" s="22">
        <f>'пр.5.1.ведом.21-22'!G1105</f>
        <v>732085.63199999987</v>
      </c>
      <c r="G1016" s="22">
        <f>'пр.5.1.ведом.21-22'!H1105</f>
        <v>735832.82</v>
      </c>
    </row>
    <row r="1017" spans="1:7" hidden="1" x14ac:dyDescent="0.25"/>
    <row r="1018" spans="1:7" hidden="1" x14ac:dyDescent="0.25">
      <c r="F1018" s="22">
        <f>F1016-F1012</f>
        <v>0</v>
      </c>
      <c r="G1018" s="22">
        <f>G1016-G1012</f>
        <v>0</v>
      </c>
    </row>
    <row r="1019" spans="1:7" hidden="1" x14ac:dyDescent="0.25"/>
  </sheetData>
  <mergeCells count="1">
    <mergeCell ref="A5:G5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ColWidth="9.140625"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9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5" t="s">
        <v>124</v>
      </c>
      <c r="G1" s="63"/>
      <c r="H1" s="177"/>
    </row>
    <row r="2" spans="1:9" ht="18.75" x14ac:dyDescent="0.3">
      <c r="A2" s="63"/>
      <c r="B2" s="63"/>
      <c r="C2" s="63"/>
      <c r="D2" s="63"/>
      <c r="E2" s="62"/>
      <c r="F2" s="155" t="s">
        <v>1</v>
      </c>
      <c r="G2" s="63"/>
      <c r="H2" s="177"/>
    </row>
    <row r="3" spans="1:9" ht="18.75" x14ac:dyDescent="0.3">
      <c r="A3" s="63"/>
      <c r="B3" s="63"/>
      <c r="C3" s="63"/>
      <c r="D3" s="63"/>
      <c r="E3" s="62"/>
      <c r="F3" s="155" t="s">
        <v>760</v>
      </c>
      <c r="G3" s="63"/>
      <c r="H3" s="177"/>
    </row>
    <row r="4" spans="1:9" ht="15.75" x14ac:dyDescent="0.25">
      <c r="A4" s="393"/>
      <c r="B4" s="393"/>
      <c r="C4" s="393"/>
      <c r="D4" s="393"/>
      <c r="E4" s="393"/>
      <c r="F4" s="393"/>
      <c r="G4" s="393"/>
      <c r="H4" s="177"/>
    </row>
    <row r="5" spans="1:9" ht="15.75" x14ac:dyDescent="0.25">
      <c r="A5" s="392" t="s">
        <v>125</v>
      </c>
      <c r="B5" s="392"/>
      <c r="C5" s="392"/>
      <c r="D5" s="392"/>
      <c r="E5" s="392"/>
      <c r="F5" s="392"/>
      <c r="G5" s="392"/>
      <c r="H5" s="177"/>
    </row>
    <row r="6" spans="1:9" ht="15.75" x14ac:dyDescent="0.25">
      <c r="A6" s="174"/>
      <c r="B6" s="174"/>
      <c r="C6" s="174"/>
      <c r="D6" s="174"/>
      <c r="E6" s="174"/>
      <c r="F6" s="174"/>
      <c r="G6" s="174"/>
      <c r="H6" s="177"/>
    </row>
    <row r="7" spans="1:9" ht="15.75" x14ac:dyDescent="0.25">
      <c r="A7" s="13"/>
      <c r="B7" s="13"/>
      <c r="C7" s="13"/>
      <c r="D7" s="13"/>
      <c r="E7" s="13"/>
      <c r="F7" s="13"/>
      <c r="G7" s="101" t="s">
        <v>2</v>
      </c>
      <c r="H7" s="177"/>
    </row>
    <row r="8" spans="1:9" ht="47.25" x14ac:dyDescent="0.25">
      <c r="A8" s="14" t="s">
        <v>126</v>
      </c>
      <c r="B8" s="14" t="s">
        <v>127</v>
      </c>
      <c r="C8" s="15" t="s">
        <v>128</v>
      </c>
      <c r="D8" s="15" t="s">
        <v>129</v>
      </c>
      <c r="E8" s="15" t="s">
        <v>130</v>
      </c>
      <c r="F8" s="15" t="s">
        <v>131</v>
      </c>
      <c r="G8" s="14" t="s">
        <v>5</v>
      </c>
      <c r="H8" s="177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7"/>
    </row>
    <row r="10" spans="1:9" ht="31.5" x14ac:dyDescent="0.25">
      <c r="A10" s="19" t="s">
        <v>132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7"/>
      <c r="I10" s="114"/>
    </row>
    <row r="11" spans="1:9" ht="15.75" x14ac:dyDescent="0.25">
      <c r="A11" s="23" t="s">
        <v>133</v>
      </c>
      <c r="B11" s="19">
        <v>901</v>
      </c>
      <c r="C11" s="24" t="s">
        <v>134</v>
      </c>
      <c r="D11" s="20"/>
      <c r="E11" s="20"/>
      <c r="F11" s="20"/>
      <c r="G11" s="21">
        <f>G12+G22</f>
        <v>14164.460000000001</v>
      </c>
      <c r="H11" s="177"/>
    </row>
    <row r="12" spans="1:9" ht="63" x14ac:dyDescent="0.25">
      <c r="A12" s="23" t="s">
        <v>135</v>
      </c>
      <c r="B12" s="19">
        <v>901</v>
      </c>
      <c r="C12" s="24" t="s">
        <v>134</v>
      </c>
      <c r="D12" s="24" t="s">
        <v>136</v>
      </c>
      <c r="E12" s="24"/>
      <c r="F12" s="24"/>
      <c r="G12" s="21">
        <f>G13</f>
        <v>14114.460000000001</v>
      </c>
      <c r="H12" s="177"/>
    </row>
    <row r="13" spans="1:9" ht="15.75" x14ac:dyDescent="0.25">
      <c r="A13" s="25" t="s">
        <v>137</v>
      </c>
      <c r="B13" s="16">
        <v>901</v>
      </c>
      <c r="C13" s="20" t="s">
        <v>134</v>
      </c>
      <c r="D13" s="20" t="s">
        <v>136</v>
      </c>
      <c r="E13" s="20" t="s">
        <v>138</v>
      </c>
      <c r="F13" s="20"/>
      <c r="G13" s="26">
        <f>G14</f>
        <v>14114.460000000001</v>
      </c>
      <c r="H13" s="177"/>
    </row>
    <row r="14" spans="1:9" ht="31.5" x14ac:dyDescent="0.25">
      <c r="A14" s="25" t="s">
        <v>139</v>
      </c>
      <c r="B14" s="16">
        <v>901</v>
      </c>
      <c r="C14" s="20" t="s">
        <v>134</v>
      </c>
      <c r="D14" s="20" t="s">
        <v>136</v>
      </c>
      <c r="E14" s="20" t="s">
        <v>140</v>
      </c>
      <c r="F14" s="20"/>
      <c r="G14" s="26">
        <f>G15</f>
        <v>14114.460000000001</v>
      </c>
      <c r="H14" s="177"/>
    </row>
    <row r="15" spans="1:9" ht="47.25" x14ac:dyDescent="0.25">
      <c r="A15" s="25" t="s">
        <v>141</v>
      </c>
      <c r="B15" s="16">
        <v>901</v>
      </c>
      <c r="C15" s="20" t="s">
        <v>134</v>
      </c>
      <c r="D15" s="20" t="s">
        <v>136</v>
      </c>
      <c r="E15" s="20" t="s">
        <v>142</v>
      </c>
      <c r="F15" s="20"/>
      <c r="G15" s="26">
        <f>G16+G18+G20</f>
        <v>14114.460000000001</v>
      </c>
      <c r="H15" s="177"/>
    </row>
    <row r="16" spans="1:9" ht="94.5" x14ac:dyDescent="0.25">
      <c r="A16" s="25" t="s">
        <v>143</v>
      </c>
      <c r="B16" s="16">
        <v>901</v>
      </c>
      <c r="C16" s="20" t="s">
        <v>134</v>
      </c>
      <c r="D16" s="20" t="s">
        <v>136</v>
      </c>
      <c r="E16" s="20" t="s">
        <v>142</v>
      </c>
      <c r="F16" s="20" t="s">
        <v>144</v>
      </c>
      <c r="G16" s="26">
        <f>G17</f>
        <v>12784.1</v>
      </c>
      <c r="H16" s="177"/>
    </row>
    <row r="17" spans="1:8" ht="31.5" x14ac:dyDescent="0.25">
      <c r="A17" s="25" t="s">
        <v>145</v>
      </c>
      <c r="B17" s="16">
        <v>901</v>
      </c>
      <c r="C17" s="20" t="s">
        <v>134</v>
      </c>
      <c r="D17" s="20" t="s">
        <v>136</v>
      </c>
      <c r="E17" s="20" t="s">
        <v>142</v>
      </c>
      <c r="F17" s="20" t="s">
        <v>146</v>
      </c>
      <c r="G17" s="27">
        <v>12784.1</v>
      </c>
      <c r="H17" s="177"/>
    </row>
    <row r="18" spans="1:8" ht="31.5" x14ac:dyDescent="0.25">
      <c r="A18" s="25" t="s">
        <v>147</v>
      </c>
      <c r="B18" s="16">
        <v>901</v>
      </c>
      <c r="C18" s="20" t="s">
        <v>134</v>
      </c>
      <c r="D18" s="20" t="s">
        <v>136</v>
      </c>
      <c r="E18" s="20" t="s">
        <v>142</v>
      </c>
      <c r="F18" s="20" t="s">
        <v>148</v>
      </c>
      <c r="G18" s="26">
        <f>G19</f>
        <v>1302.3599999999999</v>
      </c>
      <c r="H18" s="177"/>
    </row>
    <row r="19" spans="1:8" ht="47.25" x14ac:dyDescent="0.25">
      <c r="A19" s="25" t="s">
        <v>149</v>
      </c>
      <c r="B19" s="16">
        <v>901</v>
      </c>
      <c r="C19" s="20" t="s">
        <v>134</v>
      </c>
      <c r="D19" s="20" t="s">
        <v>136</v>
      </c>
      <c r="E19" s="20" t="s">
        <v>142</v>
      </c>
      <c r="F19" s="20" t="s">
        <v>150</v>
      </c>
      <c r="G19" s="27">
        <v>1302.3599999999999</v>
      </c>
      <c r="H19" s="177"/>
    </row>
    <row r="20" spans="1:8" ht="15.75" x14ac:dyDescent="0.25">
      <c r="A20" s="25" t="s">
        <v>151</v>
      </c>
      <c r="B20" s="16">
        <v>901</v>
      </c>
      <c r="C20" s="20" t="s">
        <v>134</v>
      </c>
      <c r="D20" s="20" t="s">
        <v>136</v>
      </c>
      <c r="E20" s="20" t="s">
        <v>142</v>
      </c>
      <c r="F20" s="20" t="s">
        <v>152</v>
      </c>
      <c r="G20" s="26">
        <f>G21</f>
        <v>28</v>
      </c>
      <c r="H20" s="177"/>
    </row>
    <row r="21" spans="1:8" ht="15.75" x14ac:dyDescent="0.25">
      <c r="A21" s="25" t="s">
        <v>584</v>
      </c>
      <c r="B21" s="16">
        <v>901</v>
      </c>
      <c r="C21" s="20" t="s">
        <v>134</v>
      </c>
      <c r="D21" s="20" t="s">
        <v>136</v>
      </c>
      <c r="E21" s="20" t="s">
        <v>142</v>
      </c>
      <c r="F21" s="20" t="s">
        <v>154</v>
      </c>
      <c r="G21" s="26">
        <v>28</v>
      </c>
      <c r="H21" s="177"/>
    </row>
    <row r="22" spans="1:8" ht="31.7" customHeight="1" x14ac:dyDescent="0.25">
      <c r="A22" s="23" t="s">
        <v>155</v>
      </c>
      <c r="B22" s="19">
        <v>901</v>
      </c>
      <c r="C22" s="24" t="s">
        <v>134</v>
      </c>
      <c r="D22" s="24" t="s">
        <v>156</v>
      </c>
      <c r="E22" s="24"/>
      <c r="F22" s="24"/>
      <c r="G22" s="21">
        <f>G23</f>
        <v>50</v>
      </c>
      <c r="H22" s="177"/>
    </row>
    <row r="23" spans="1:8" ht="15.75" x14ac:dyDescent="0.25">
      <c r="A23" s="25" t="s">
        <v>157</v>
      </c>
      <c r="B23" s="16">
        <v>901</v>
      </c>
      <c r="C23" s="20" t="s">
        <v>134</v>
      </c>
      <c r="D23" s="20" t="s">
        <v>156</v>
      </c>
      <c r="E23" s="20" t="s">
        <v>158</v>
      </c>
      <c r="F23" s="20"/>
      <c r="G23" s="26">
        <f>G24</f>
        <v>50</v>
      </c>
      <c r="H23" s="177"/>
    </row>
    <row r="24" spans="1:8" ht="15.75" x14ac:dyDescent="0.25">
      <c r="A24" s="25" t="s">
        <v>159</v>
      </c>
      <c r="B24" s="16">
        <v>901</v>
      </c>
      <c r="C24" s="20" t="s">
        <v>134</v>
      </c>
      <c r="D24" s="20" t="s">
        <v>156</v>
      </c>
      <c r="E24" s="20" t="s">
        <v>160</v>
      </c>
      <c r="F24" s="20"/>
      <c r="G24" s="26">
        <f>G25</f>
        <v>50</v>
      </c>
      <c r="H24" s="177"/>
    </row>
    <row r="25" spans="1:8" ht="15.75" x14ac:dyDescent="0.25">
      <c r="A25" s="25" t="s">
        <v>151</v>
      </c>
      <c r="B25" s="16">
        <v>901</v>
      </c>
      <c r="C25" s="20" t="s">
        <v>134</v>
      </c>
      <c r="D25" s="20" t="s">
        <v>156</v>
      </c>
      <c r="E25" s="20" t="s">
        <v>160</v>
      </c>
      <c r="F25" s="20" t="s">
        <v>161</v>
      </c>
      <c r="G25" s="26">
        <f>G26</f>
        <v>50</v>
      </c>
      <c r="H25" s="177"/>
    </row>
    <row r="26" spans="1:8" ht="15.75" x14ac:dyDescent="0.25">
      <c r="A26" s="25" t="s">
        <v>162</v>
      </c>
      <c r="B26" s="16">
        <v>901</v>
      </c>
      <c r="C26" s="20" t="s">
        <v>134</v>
      </c>
      <c r="D26" s="20" t="s">
        <v>156</v>
      </c>
      <c r="E26" s="20" t="s">
        <v>160</v>
      </c>
      <c r="F26" s="20" t="s">
        <v>163</v>
      </c>
      <c r="G26" s="26">
        <v>50</v>
      </c>
      <c r="H26" s="177"/>
    </row>
    <row r="27" spans="1:8" ht="31.5" x14ac:dyDescent="0.25">
      <c r="A27" s="19" t="s">
        <v>164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7"/>
    </row>
    <row r="28" spans="1:8" ht="15.75" x14ac:dyDescent="0.25">
      <c r="A28" s="23" t="s">
        <v>133</v>
      </c>
      <c r="B28" s="19">
        <v>902</v>
      </c>
      <c r="C28" s="24" t="s">
        <v>134</v>
      </c>
      <c r="D28" s="20"/>
      <c r="E28" s="20"/>
      <c r="F28" s="20"/>
      <c r="G28" s="21">
        <f>G29+G48+G56</f>
        <v>66062.7</v>
      </c>
      <c r="H28" s="177"/>
    </row>
    <row r="29" spans="1:8" ht="78.75" x14ac:dyDescent="0.25">
      <c r="A29" s="23" t="s">
        <v>165</v>
      </c>
      <c r="B29" s="19">
        <v>902</v>
      </c>
      <c r="C29" s="24" t="s">
        <v>134</v>
      </c>
      <c r="D29" s="24" t="s">
        <v>166</v>
      </c>
      <c r="E29" s="24"/>
      <c r="F29" s="24"/>
      <c r="G29" s="21">
        <f>G30</f>
        <v>51508.2</v>
      </c>
      <c r="H29" s="177"/>
    </row>
    <row r="30" spans="1:8" ht="15.75" x14ac:dyDescent="0.25">
      <c r="A30" s="25" t="s">
        <v>137</v>
      </c>
      <c r="B30" s="16">
        <v>902</v>
      </c>
      <c r="C30" s="20" t="s">
        <v>134</v>
      </c>
      <c r="D30" s="20" t="s">
        <v>166</v>
      </c>
      <c r="E30" s="20" t="s">
        <v>138</v>
      </c>
      <c r="F30" s="20"/>
      <c r="G30" s="27">
        <f>G31+G42</f>
        <v>51508.2</v>
      </c>
      <c r="H30" s="177"/>
    </row>
    <row r="31" spans="1:8" ht="31.5" x14ac:dyDescent="0.25">
      <c r="A31" s="25" t="s">
        <v>139</v>
      </c>
      <c r="B31" s="16">
        <v>902</v>
      </c>
      <c r="C31" s="20" t="s">
        <v>134</v>
      </c>
      <c r="D31" s="20" t="s">
        <v>166</v>
      </c>
      <c r="E31" s="20" t="s">
        <v>140</v>
      </c>
      <c r="F31" s="20"/>
      <c r="G31" s="27">
        <f>G32+G39</f>
        <v>43489.2</v>
      </c>
      <c r="H31" s="177"/>
    </row>
    <row r="32" spans="1:8" ht="47.25" x14ac:dyDescent="0.25">
      <c r="A32" s="25" t="s">
        <v>141</v>
      </c>
      <c r="B32" s="16">
        <v>902</v>
      </c>
      <c r="C32" s="20" t="s">
        <v>134</v>
      </c>
      <c r="D32" s="20" t="s">
        <v>166</v>
      </c>
      <c r="E32" s="20" t="s">
        <v>142</v>
      </c>
      <c r="F32" s="20"/>
      <c r="G32" s="26">
        <f>G33+G35+G37</f>
        <v>39943.599999999999</v>
      </c>
      <c r="H32" s="177"/>
    </row>
    <row r="33" spans="1:10" ht="94.5" x14ac:dyDescent="0.25">
      <c r="A33" s="25" t="s">
        <v>143</v>
      </c>
      <c r="B33" s="16">
        <v>902</v>
      </c>
      <c r="C33" s="20" t="s">
        <v>134</v>
      </c>
      <c r="D33" s="20" t="s">
        <v>166</v>
      </c>
      <c r="E33" s="20" t="s">
        <v>142</v>
      </c>
      <c r="F33" s="20" t="s">
        <v>144</v>
      </c>
      <c r="G33" s="26">
        <f>G34</f>
        <v>34230.5</v>
      </c>
      <c r="H33" s="177"/>
    </row>
    <row r="34" spans="1:10" ht="31.5" x14ac:dyDescent="0.25">
      <c r="A34" s="25" t="s">
        <v>145</v>
      </c>
      <c r="B34" s="16">
        <v>902</v>
      </c>
      <c r="C34" s="20" t="s">
        <v>134</v>
      </c>
      <c r="D34" s="20" t="s">
        <v>166</v>
      </c>
      <c r="E34" s="20" t="s">
        <v>142</v>
      </c>
      <c r="F34" s="20" t="s">
        <v>146</v>
      </c>
      <c r="G34" s="156">
        <f>36517.7-553.5-1733.7</f>
        <v>34230.5</v>
      </c>
      <c r="H34" s="157" t="s">
        <v>738</v>
      </c>
      <c r="J34" s="172" t="s">
        <v>780</v>
      </c>
    </row>
    <row r="35" spans="1:10" ht="31.5" x14ac:dyDescent="0.25">
      <c r="A35" s="25" t="s">
        <v>147</v>
      </c>
      <c r="B35" s="16">
        <v>902</v>
      </c>
      <c r="C35" s="20" t="s">
        <v>134</v>
      </c>
      <c r="D35" s="20" t="s">
        <v>166</v>
      </c>
      <c r="E35" s="20" t="s">
        <v>142</v>
      </c>
      <c r="F35" s="20" t="s">
        <v>148</v>
      </c>
      <c r="G35" s="26">
        <f>G36</f>
        <v>5592.4</v>
      </c>
      <c r="H35" s="177"/>
    </row>
    <row r="36" spans="1:10" ht="47.25" x14ac:dyDescent="0.25">
      <c r="A36" s="25" t="s">
        <v>149</v>
      </c>
      <c r="B36" s="16">
        <v>902</v>
      </c>
      <c r="C36" s="20" t="s">
        <v>134</v>
      </c>
      <c r="D36" s="20" t="s">
        <v>166</v>
      </c>
      <c r="E36" s="20" t="s">
        <v>142</v>
      </c>
      <c r="F36" s="20" t="s">
        <v>150</v>
      </c>
      <c r="G36" s="27">
        <f>3962.7+1800-140.3-30</f>
        <v>5592.4</v>
      </c>
      <c r="H36" s="106"/>
      <c r="I36" s="125"/>
    </row>
    <row r="37" spans="1:10" ht="15.75" x14ac:dyDescent="0.25">
      <c r="A37" s="25" t="s">
        <v>151</v>
      </c>
      <c r="B37" s="16">
        <v>902</v>
      </c>
      <c r="C37" s="20" t="s">
        <v>134</v>
      </c>
      <c r="D37" s="20" t="s">
        <v>166</v>
      </c>
      <c r="E37" s="20" t="s">
        <v>142</v>
      </c>
      <c r="F37" s="20" t="s">
        <v>161</v>
      </c>
      <c r="G37" s="26">
        <f>G38</f>
        <v>120.7</v>
      </c>
      <c r="H37" s="177"/>
    </row>
    <row r="38" spans="1:10" ht="15.75" x14ac:dyDescent="0.25">
      <c r="A38" s="25" t="s">
        <v>584</v>
      </c>
      <c r="B38" s="16">
        <v>902</v>
      </c>
      <c r="C38" s="20" t="s">
        <v>134</v>
      </c>
      <c r="D38" s="20" t="s">
        <v>166</v>
      </c>
      <c r="E38" s="20" t="s">
        <v>142</v>
      </c>
      <c r="F38" s="20" t="s">
        <v>154</v>
      </c>
      <c r="G38" s="27">
        <f>90.7+30</f>
        <v>120.7</v>
      </c>
      <c r="H38" s="106"/>
      <c r="I38" s="124"/>
    </row>
    <row r="39" spans="1:10" ht="31.5" x14ac:dyDescent="0.25">
      <c r="A39" s="25" t="s">
        <v>167</v>
      </c>
      <c r="B39" s="16">
        <v>902</v>
      </c>
      <c r="C39" s="20" t="s">
        <v>134</v>
      </c>
      <c r="D39" s="20" t="s">
        <v>166</v>
      </c>
      <c r="E39" s="20" t="s">
        <v>168</v>
      </c>
      <c r="F39" s="20"/>
      <c r="G39" s="26">
        <f>G40</f>
        <v>3545.6</v>
      </c>
      <c r="H39" s="177"/>
    </row>
    <row r="40" spans="1:10" ht="94.5" x14ac:dyDescent="0.25">
      <c r="A40" s="25" t="s">
        <v>143</v>
      </c>
      <c r="B40" s="16">
        <v>902</v>
      </c>
      <c r="C40" s="20" t="s">
        <v>134</v>
      </c>
      <c r="D40" s="20" t="s">
        <v>166</v>
      </c>
      <c r="E40" s="20" t="s">
        <v>168</v>
      </c>
      <c r="F40" s="20" t="s">
        <v>144</v>
      </c>
      <c r="G40" s="26">
        <f>G41</f>
        <v>3545.6</v>
      </c>
      <c r="H40" s="177"/>
    </row>
    <row r="41" spans="1:10" ht="31.5" x14ac:dyDescent="0.25">
      <c r="A41" s="25" t="s">
        <v>145</v>
      </c>
      <c r="B41" s="16">
        <v>902</v>
      </c>
      <c r="C41" s="20" t="s">
        <v>134</v>
      </c>
      <c r="D41" s="20" t="s">
        <v>166</v>
      </c>
      <c r="E41" s="20" t="s">
        <v>168</v>
      </c>
      <c r="F41" s="20" t="s">
        <v>146</v>
      </c>
      <c r="G41" s="27">
        <v>3545.6</v>
      </c>
      <c r="H41" s="177"/>
    </row>
    <row r="42" spans="1:10" ht="15.75" x14ac:dyDescent="0.25">
      <c r="A42" s="25" t="s">
        <v>157</v>
      </c>
      <c r="B42" s="16">
        <v>902</v>
      </c>
      <c r="C42" s="20" t="s">
        <v>134</v>
      </c>
      <c r="D42" s="20" t="s">
        <v>166</v>
      </c>
      <c r="E42" s="20" t="s">
        <v>158</v>
      </c>
      <c r="F42" s="20"/>
      <c r="G42" s="28">
        <f>G43</f>
        <v>8019</v>
      </c>
      <c r="H42" s="177"/>
    </row>
    <row r="43" spans="1:10" ht="31.5" x14ac:dyDescent="0.25">
      <c r="A43" s="25" t="s">
        <v>169</v>
      </c>
      <c r="B43" s="16">
        <v>902</v>
      </c>
      <c r="C43" s="20" t="s">
        <v>134</v>
      </c>
      <c r="D43" s="20" t="s">
        <v>166</v>
      </c>
      <c r="E43" s="20" t="s">
        <v>170</v>
      </c>
      <c r="F43" s="20"/>
      <c r="G43" s="26">
        <f>G44+G46</f>
        <v>8019</v>
      </c>
      <c r="H43" s="177"/>
    </row>
    <row r="44" spans="1:10" ht="94.5" x14ac:dyDescent="0.25">
      <c r="A44" s="25" t="s">
        <v>143</v>
      </c>
      <c r="B44" s="16">
        <v>902</v>
      </c>
      <c r="C44" s="20" t="s">
        <v>134</v>
      </c>
      <c r="D44" s="20" t="s">
        <v>166</v>
      </c>
      <c r="E44" s="20" t="s">
        <v>170</v>
      </c>
      <c r="F44" s="20" t="s">
        <v>144</v>
      </c>
      <c r="G44" s="26">
        <f>G45</f>
        <v>5761.2</v>
      </c>
      <c r="H44" s="177"/>
    </row>
    <row r="45" spans="1:10" ht="31.5" x14ac:dyDescent="0.25">
      <c r="A45" s="25" t="s">
        <v>145</v>
      </c>
      <c r="B45" s="16">
        <v>902</v>
      </c>
      <c r="C45" s="20" t="s">
        <v>134</v>
      </c>
      <c r="D45" s="20" t="s">
        <v>166</v>
      </c>
      <c r="E45" s="20" t="s">
        <v>170</v>
      </c>
      <c r="F45" s="20" t="s">
        <v>146</v>
      </c>
      <c r="G45" s="156">
        <f>6958.6+88.4-2398.3+1112.5</f>
        <v>5761.2</v>
      </c>
      <c r="H45" s="106" t="s">
        <v>739</v>
      </c>
      <c r="I45" s="124"/>
      <c r="J45" s="171" t="s">
        <v>781</v>
      </c>
    </row>
    <row r="46" spans="1:10" ht="31.5" x14ac:dyDescent="0.25">
      <c r="A46" s="25" t="s">
        <v>147</v>
      </c>
      <c r="B46" s="16">
        <v>902</v>
      </c>
      <c r="C46" s="20" t="s">
        <v>134</v>
      </c>
      <c r="D46" s="20" t="s">
        <v>166</v>
      </c>
      <c r="E46" s="20" t="s">
        <v>170</v>
      </c>
      <c r="F46" s="20" t="s">
        <v>148</v>
      </c>
      <c r="G46" s="26">
        <f>G47</f>
        <v>2257.8000000000002</v>
      </c>
      <c r="H46" s="177"/>
    </row>
    <row r="47" spans="1:10" ht="47.25" x14ac:dyDescent="0.25">
      <c r="A47" s="25" t="s">
        <v>149</v>
      </c>
      <c r="B47" s="16">
        <v>902</v>
      </c>
      <c r="C47" s="20" t="s">
        <v>134</v>
      </c>
      <c r="D47" s="20" t="s">
        <v>166</v>
      </c>
      <c r="E47" s="20" t="s">
        <v>170</v>
      </c>
      <c r="F47" s="20" t="s">
        <v>150</v>
      </c>
      <c r="G47" s="156">
        <f>2109.3+129.9+835.5-1438.1+621.2</f>
        <v>2257.8000000000002</v>
      </c>
      <c r="H47" s="106" t="s">
        <v>740</v>
      </c>
      <c r="I47" s="125"/>
    </row>
    <row r="48" spans="1:10" ht="63" x14ac:dyDescent="0.25">
      <c r="A48" s="23" t="s">
        <v>135</v>
      </c>
      <c r="B48" s="19">
        <v>902</v>
      </c>
      <c r="C48" s="24" t="s">
        <v>134</v>
      </c>
      <c r="D48" s="24" t="s">
        <v>136</v>
      </c>
      <c r="E48" s="24"/>
      <c r="F48" s="20"/>
      <c r="G48" s="21">
        <f>G49</f>
        <v>1081.7</v>
      </c>
      <c r="H48" s="177"/>
    </row>
    <row r="49" spans="1:11" ht="21.2" customHeight="1" x14ac:dyDescent="0.25">
      <c r="A49" s="25" t="s">
        <v>137</v>
      </c>
      <c r="B49" s="16">
        <v>902</v>
      </c>
      <c r="C49" s="20" t="s">
        <v>134</v>
      </c>
      <c r="D49" s="20" t="s">
        <v>136</v>
      </c>
      <c r="E49" s="20" t="s">
        <v>138</v>
      </c>
      <c r="F49" s="20"/>
      <c r="G49" s="26">
        <f>G50</f>
        <v>1081.7</v>
      </c>
      <c r="H49" s="177"/>
    </row>
    <row r="50" spans="1:11" ht="31.5" x14ac:dyDescent="0.25">
      <c r="A50" s="25" t="s">
        <v>139</v>
      </c>
      <c r="B50" s="16">
        <v>902</v>
      </c>
      <c r="C50" s="20" t="s">
        <v>134</v>
      </c>
      <c r="D50" s="20" t="s">
        <v>136</v>
      </c>
      <c r="E50" s="20" t="s">
        <v>140</v>
      </c>
      <c r="F50" s="20"/>
      <c r="G50" s="26">
        <f>G51</f>
        <v>1081.7</v>
      </c>
      <c r="H50" s="177"/>
      <c r="K50" s="26"/>
    </row>
    <row r="51" spans="1:11" ht="47.25" x14ac:dyDescent="0.25">
      <c r="A51" s="25" t="s">
        <v>141</v>
      </c>
      <c r="B51" s="16">
        <v>902</v>
      </c>
      <c r="C51" s="20" t="s">
        <v>134</v>
      </c>
      <c r="D51" s="20" t="s">
        <v>136</v>
      </c>
      <c r="E51" s="20" t="s">
        <v>142</v>
      </c>
      <c r="F51" s="20"/>
      <c r="G51" s="26">
        <f>G52+G54</f>
        <v>1081.7</v>
      </c>
      <c r="H51" s="177"/>
      <c r="K51" s="26"/>
    </row>
    <row r="52" spans="1:11" ht="94.5" x14ac:dyDescent="0.25">
      <c r="A52" s="25" t="s">
        <v>143</v>
      </c>
      <c r="B52" s="16">
        <v>902</v>
      </c>
      <c r="C52" s="20" t="s">
        <v>134</v>
      </c>
      <c r="D52" s="20" t="s">
        <v>136</v>
      </c>
      <c r="E52" s="20" t="s">
        <v>142</v>
      </c>
      <c r="F52" s="20" t="s">
        <v>144</v>
      </c>
      <c r="G52" s="26">
        <f>G53</f>
        <v>1081.7</v>
      </c>
      <c r="H52" s="177"/>
      <c r="K52" s="27"/>
    </row>
    <row r="53" spans="1:11" ht="31.5" x14ac:dyDescent="0.25">
      <c r="A53" s="25" t="s">
        <v>145</v>
      </c>
      <c r="B53" s="16">
        <v>902</v>
      </c>
      <c r="C53" s="20" t="s">
        <v>134</v>
      </c>
      <c r="D53" s="20" t="s">
        <v>136</v>
      </c>
      <c r="E53" s="20" t="s">
        <v>142</v>
      </c>
      <c r="F53" s="20" t="s">
        <v>146</v>
      </c>
      <c r="G53" s="27">
        <f>1081.7</f>
        <v>1081.7</v>
      </c>
      <c r="H53" s="177"/>
      <c r="I53" s="115"/>
      <c r="K53" s="26"/>
    </row>
    <row r="54" spans="1:11" ht="31.5" hidden="1" x14ac:dyDescent="0.25">
      <c r="A54" s="25" t="s">
        <v>147</v>
      </c>
      <c r="B54" s="16">
        <v>902</v>
      </c>
      <c r="C54" s="20" t="s">
        <v>134</v>
      </c>
      <c r="D54" s="20" t="s">
        <v>136</v>
      </c>
      <c r="E54" s="20" t="s">
        <v>142</v>
      </c>
      <c r="F54" s="20" t="s">
        <v>148</v>
      </c>
      <c r="G54" s="27">
        <f>G55</f>
        <v>0</v>
      </c>
      <c r="H54" s="177"/>
      <c r="K54" s="26"/>
    </row>
    <row r="55" spans="1:11" ht="47.25" hidden="1" x14ac:dyDescent="0.25">
      <c r="A55" s="25" t="s">
        <v>149</v>
      </c>
      <c r="B55" s="16">
        <v>902</v>
      </c>
      <c r="C55" s="20" t="s">
        <v>134</v>
      </c>
      <c r="D55" s="20" t="s">
        <v>136</v>
      </c>
      <c r="E55" s="20" t="s">
        <v>142</v>
      </c>
      <c r="F55" s="20" t="s">
        <v>150</v>
      </c>
      <c r="G55" s="27"/>
      <c r="H55" s="177"/>
      <c r="I55" s="115"/>
      <c r="K55" s="26"/>
    </row>
    <row r="56" spans="1:11" ht="15.75" x14ac:dyDescent="0.25">
      <c r="A56" s="23" t="s">
        <v>155</v>
      </c>
      <c r="B56" s="19">
        <v>902</v>
      </c>
      <c r="C56" s="24" t="s">
        <v>134</v>
      </c>
      <c r="D56" s="24" t="s">
        <v>156</v>
      </c>
      <c r="E56" s="24"/>
      <c r="F56" s="24"/>
      <c r="G56" s="21">
        <f>G57+G61+G73+G86+G97+G90</f>
        <v>13472.8</v>
      </c>
      <c r="H56" s="177"/>
      <c r="I56" s="114"/>
      <c r="K56" s="26"/>
    </row>
    <row r="57" spans="1:11" ht="63" x14ac:dyDescent="0.25">
      <c r="A57" s="25" t="s">
        <v>171</v>
      </c>
      <c r="B57" s="16">
        <v>902</v>
      </c>
      <c r="C57" s="20" t="s">
        <v>134</v>
      </c>
      <c r="D57" s="20" t="s">
        <v>156</v>
      </c>
      <c r="E57" s="20" t="s">
        <v>172</v>
      </c>
      <c r="F57" s="20"/>
      <c r="G57" s="26">
        <f>G58</f>
        <v>250</v>
      </c>
      <c r="H57" s="177"/>
    </row>
    <row r="58" spans="1:11" ht="31.5" x14ac:dyDescent="0.25">
      <c r="A58" s="25" t="s">
        <v>173</v>
      </c>
      <c r="B58" s="16">
        <v>902</v>
      </c>
      <c r="C58" s="20" t="s">
        <v>134</v>
      </c>
      <c r="D58" s="20" t="s">
        <v>156</v>
      </c>
      <c r="E58" s="20" t="s">
        <v>174</v>
      </c>
      <c r="F58" s="20"/>
      <c r="G58" s="26">
        <f>G59</f>
        <v>250</v>
      </c>
      <c r="H58" s="177"/>
    </row>
    <row r="59" spans="1:11" ht="15.75" x14ac:dyDescent="0.25">
      <c r="A59" s="25" t="s">
        <v>151</v>
      </c>
      <c r="B59" s="16">
        <v>902</v>
      </c>
      <c r="C59" s="20" t="s">
        <v>134</v>
      </c>
      <c r="D59" s="20" t="s">
        <v>156</v>
      </c>
      <c r="E59" s="20" t="s">
        <v>174</v>
      </c>
      <c r="F59" s="20" t="s">
        <v>161</v>
      </c>
      <c r="G59" s="26">
        <f>G60</f>
        <v>250</v>
      </c>
      <c r="H59" s="177"/>
    </row>
    <row r="60" spans="1:11" ht="78.75" x14ac:dyDescent="0.25">
      <c r="A60" s="25" t="s">
        <v>175</v>
      </c>
      <c r="B60" s="16">
        <v>902</v>
      </c>
      <c r="C60" s="20" t="s">
        <v>134</v>
      </c>
      <c r="D60" s="20" t="s">
        <v>156</v>
      </c>
      <c r="E60" s="20" t="s">
        <v>174</v>
      </c>
      <c r="F60" s="20" t="s">
        <v>176</v>
      </c>
      <c r="G60" s="26">
        <f>100+150</f>
        <v>250</v>
      </c>
      <c r="H60" s="177"/>
      <c r="I60" s="115"/>
    </row>
    <row r="61" spans="1:11" ht="47.25" x14ac:dyDescent="0.25">
      <c r="A61" s="25" t="s">
        <v>177</v>
      </c>
      <c r="B61" s="16">
        <v>902</v>
      </c>
      <c r="C61" s="20" t="s">
        <v>134</v>
      </c>
      <c r="D61" s="20" t="s">
        <v>156</v>
      </c>
      <c r="E61" s="20" t="s">
        <v>178</v>
      </c>
      <c r="F61" s="20"/>
      <c r="G61" s="26">
        <f>G62+G65+G70</f>
        <v>653.5</v>
      </c>
      <c r="H61" s="177"/>
    </row>
    <row r="62" spans="1:11" ht="31.5" x14ac:dyDescent="0.25">
      <c r="A62" s="29" t="s">
        <v>179</v>
      </c>
      <c r="B62" s="16">
        <v>902</v>
      </c>
      <c r="C62" s="20" t="s">
        <v>134</v>
      </c>
      <c r="D62" s="20" t="s">
        <v>156</v>
      </c>
      <c r="E62" s="40" t="s">
        <v>180</v>
      </c>
      <c r="F62" s="20"/>
      <c r="G62" s="26">
        <f>G63</f>
        <v>428.1</v>
      </c>
      <c r="H62" s="177"/>
    </row>
    <row r="63" spans="1:11" ht="31.5" x14ac:dyDescent="0.25">
      <c r="A63" s="25" t="s">
        <v>147</v>
      </c>
      <c r="B63" s="16">
        <v>902</v>
      </c>
      <c r="C63" s="20" t="s">
        <v>134</v>
      </c>
      <c r="D63" s="20" t="s">
        <v>156</v>
      </c>
      <c r="E63" s="40" t="s">
        <v>180</v>
      </c>
      <c r="F63" s="20" t="s">
        <v>148</v>
      </c>
      <c r="G63" s="26">
        <f>G64</f>
        <v>428.1</v>
      </c>
      <c r="H63" s="177"/>
    </row>
    <row r="64" spans="1:11" ht="47.25" x14ac:dyDescent="0.25">
      <c r="A64" s="25" t="s">
        <v>149</v>
      </c>
      <c r="B64" s="16">
        <v>902</v>
      </c>
      <c r="C64" s="20" t="s">
        <v>134</v>
      </c>
      <c r="D64" s="20" t="s">
        <v>156</v>
      </c>
      <c r="E64" s="40" t="s">
        <v>180</v>
      </c>
      <c r="F64" s="20" t="s">
        <v>150</v>
      </c>
      <c r="G64" s="26">
        <f>494.3-66.2</f>
        <v>428.1</v>
      </c>
      <c r="H64" s="177"/>
    </row>
    <row r="65" spans="1:8" ht="63" x14ac:dyDescent="0.25">
      <c r="A65" s="178" t="s">
        <v>181</v>
      </c>
      <c r="B65" s="16">
        <v>902</v>
      </c>
      <c r="C65" s="20" t="s">
        <v>134</v>
      </c>
      <c r="D65" s="20" t="s">
        <v>156</v>
      </c>
      <c r="E65" s="40" t="s">
        <v>182</v>
      </c>
      <c r="F65" s="20"/>
      <c r="G65" s="26">
        <f>G66+G68</f>
        <v>224.89999999999998</v>
      </c>
      <c r="H65" s="177"/>
    </row>
    <row r="66" spans="1:8" ht="94.5" x14ac:dyDescent="0.25">
      <c r="A66" s="25" t="s">
        <v>143</v>
      </c>
      <c r="B66" s="16">
        <v>902</v>
      </c>
      <c r="C66" s="20" t="s">
        <v>134</v>
      </c>
      <c r="D66" s="20" t="s">
        <v>156</v>
      </c>
      <c r="E66" s="40" t="s">
        <v>182</v>
      </c>
      <c r="F66" s="20" t="s">
        <v>144</v>
      </c>
      <c r="G66" s="26">
        <f>G67</f>
        <v>159.69999999999999</v>
      </c>
      <c r="H66" s="177"/>
    </row>
    <row r="67" spans="1:8" ht="31.5" x14ac:dyDescent="0.25">
      <c r="A67" s="25" t="s">
        <v>145</v>
      </c>
      <c r="B67" s="16">
        <v>902</v>
      </c>
      <c r="C67" s="20" t="s">
        <v>134</v>
      </c>
      <c r="D67" s="20" t="s">
        <v>156</v>
      </c>
      <c r="E67" s="40" t="s">
        <v>182</v>
      </c>
      <c r="F67" s="20" t="s">
        <v>146</v>
      </c>
      <c r="G67" s="26">
        <v>159.69999999999999</v>
      </c>
      <c r="H67" s="177"/>
    </row>
    <row r="68" spans="1:8" ht="31.5" x14ac:dyDescent="0.25">
      <c r="A68" s="25" t="s">
        <v>147</v>
      </c>
      <c r="B68" s="16">
        <v>902</v>
      </c>
      <c r="C68" s="20" t="s">
        <v>134</v>
      </c>
      <c r="D68" s="20" t="s">
        <v>156</v>
      </c>
      <c r="E68" s="40" t="s">
        <v>182</v>
      </c>
      <c r="F68" s="20" t="s">
        <v>148</v>
      </c>
      <c r="G68" s="26">
        <f>G69</f>
        <v>65.2</v>
      </c>
      <c r="H68" s="177"/>
    </row>
    <row r="69" spans="1:8" ht="47.25" x14ac:dyDescent="0.25">
      <c r="A69" s="25" t="s">
        <v>149</v>
      </c>
      <c r="B69" s="16">
        <v>902</v>
      </c>
      <c r="C69" s="20" t="s">
        <v>134</v>
      </c>
      <c r="D69" s="20" t="s">
        <v>156</v>
      </c>
      <c r="E69" s="40" t="s">
        <v>182</v>
      </c>
      <c r="F69" s="20" t="s">
        <v>150</v>
      </c>
      <c r="G69" s="26">
        <f>66.2-0.5-0.5</f>
        <v>65.2</v>
      </c>
      <c r="H69" s="106"/>
    </row>
    <row r="70" spans="1:8" ht="47.25" x14ac:dyDescent="0.25">
      <c r="A70" s="33" t="s">
        <v>207</v>
      </c>
      <c r="B70" s="16">
        <v>902</v>
      </c>
      <c r="C70" s="20" t="s">
        <v>134</v>
      </c>
      <c r="D70" s="20" t="s">
        <v>156</v>
      </c>
      <c r="E70" s="40" t="s">
        <v>699</v>
      </c>
      <c r="F70" s="20"/>
      <c r="G70" s="26">
        <f>G71</f>
        <v>0.5</v>
      </c>
      <c r="H70" s="108"/>
    </row>
    <row r="71" spans="1:8" ht="31.5" x14ac:dyDescent="0.25">
      <c r="A71" s="25" t="s">
        <v>147</v>
      </c>
      <c r="B71" s="16">
        <v>902</v>
      </c>
      <c r="C71" s="20" t="s">
        <v>134</v>
      </c>
      <c r="D71" s="20" t="s">
        <v>156</v>
      </c>
      <c r="E71" s="40" t="s">
        <v>699</v>
      </c>
      <c r="F71" s="20" t="s">
        <v>148</v>
      </c>
      <c r="G71" s="26">
        <f>G72</f>
        <v>0.5</v>
      </c>
      <c r="H71" s="177"/>
    </row>
    <row r="72" spans="1:8" ht="47.25" x14ac:dyDescent="0.25">
      <c r="A72" s="25" t="s">
        <v>149</v>
      </c>
      <c r="B72" s="16">
        <v>902</v>
      </c>
      <c r="C72" s="20" t="s">
        <v>134</v>
      </c>
      <c r="D72" s="20" t="s">
        <v>156</v>
      </c>
      <c r="E72" s="40" t="s">
        <v>699</v>
      </c>
      <c r="F72" s="20" t="s">
        <v>150</v>
      </c>
      <c r="G72" s="26">
        <v>0.5</v>
      </c>
      <c r="H72" s="106"/>
    </row>
    <row r="73" spans="1:8" ht="94.5" x14ac:dyDescent="0.25">
      <c r="A73" s="29" t="s">
        <v>183</v>
      </c>
      <c r="B73" s="16">
        <v>902</v>
      </c>
      <c r="C73" s="9" t="s">
        <v>134</v>
      </c>
      <c r="D73" s="9" t="s">
        <v>156</v>
      </c>
      <c r="E73" s="5" t="s">
        <v>184</v>
      </c>
      <c r="F73" s="9"/>
      <c r="G73" s="26">
        <f>G74+G78+G82</f>
        <v>80</v>
      </c>
      <c r="H73" s="177"/>
    </row>
    <row r="74" spans="1:8" ht="78.75" x14ac:dyDescent="0.25">
      <c r="A74" s="29" t="s">
        <v>185</v>
      </c>
      <c r="B74" s="16">
        <v>902</v>
      </c>
      <c r="C74" s="9" t="s">
        <v>134</v>
      </c>
      <c r="D74" s="9" t="s">
        <v>156</v>
      </c>
      <c r="E74" s="30" t="s">
        <v>186</v>
      </c>
      <c r="F74" s="9"/>
      <c r="G74" s="26">
        <f>G75</f>
        <v>15</v>
      </c>
      <c r="H74" s="177"/>
    </row>
    <row r="75" spans="1:8" ht="31.5" x14ac:dyDescent="0.25">
      <c r="A75" s="178" t="s">
        <v>187</v>
      </c>
      <c r="B75" s="16">
        <v>902</v>
      </c>
      <c r="C75" s="9" t="s">
        <v>134</v>
      </c>
      <c r="D75" s="9" t="s">
        <v>156</v>
      </c>
      <c r="E75" s="5" t="s">
        <v>188</v>
      </c>
      <c r="F75" s="9"/>
      <c r="G75" s="26">
        <f>G76</f>
        <v>15</v>
      </c>
      <c r="H75" s="177"/>
    </row>
    <row r="76" spans="1:8" ht="31.5" x14ac:dyDescent="0.25">
      <c r="A76" s="25" t="s">
        <v>147</v>
      </c>
      <c r="B76" s="16">
        <v>902</v>
      </c>
      <c r="C76" s="9" t="s">
        <v>134</v>
      </c>
      <c r="D76" s="9" t="s">
        <v>156</v>
      </c>
      <c r="E76" s="5" t="s">
        <v>188</v>
      </c>
      <c r="F76" s="9" t="s">
        <v>148</v>
      </c>
      <c r="G76" s="26">
        <f>G77</f>
        <v>15</v>
      </c>
      <c r="H76" s="177"/>
    </row>
    <row r="77" spans="1:8" ht="47.25" x14ac:dyDescent="0.25">
      <c r="A77" s="25" t="s">
        <v>149</v>
      </c>
      <c r="B77" s="16">
        <v>902</v>
      </c>
      <c r="C77" s="9" t="s">
        <v>134</v>
      </c>
      <c r="D77" s="9" t="s">
        <v>156</v>
      </c>
      <c r="E77" s="5" t="s">
        <v>188</v>
      </c>
      <c r="F77" s="9" t="s">
        <v>150</v>
      </c>
      <c r="G77" s="26">
        <v>15</v>
      </c>
      <c r="H77" s="177"/>
    </row>
    <row r="78" spans="1:8" ht="63" x14ac:dyDescent="0.25">
      <c r="A78" s="29" t="s">
        <v>189</v>
      </c>
      <c r="B78" s="16">
        <v>902</v>
      </c>
      <c r="C78" s="9" t="s">
        <v>134</v>
      </c>
      <c r="D78" s="9" t="s">
        <v>156</v>
      </c>
      <c r="E78" s="30" t="s">
        <v>190</v>
      </c>
      <c r="F78" s="9"/>
      <c r="G78" s="26">
        <f>G79</f>
        <v>50</v>
      </c>
      <c r="H78" s="177"/>
    </row>
    <row r="79" spans="1:8" ht="31.5" x14ac:dyDescent="0.25">
      <c r="A79" s="45" t="s">
        <v>191</v>
      </c>
      <c r="B79" s="16">
        <v>902</v>
      </c>
      <c r="C79" s="9" t="s">
        <v>134</v>
      </c>
      <c r="D79" s="9" t="s">
        <v>156</v>
      </c>
      <c r="E79" s="5" t="s">
        <v>192</v>
      </c>
      <c r="F79" s="9"/>
      <c r="G79" s="26">
        <f>G80</f>
        <v>50</v>
      </c>
      <c r="H79" s="177"/>
    </row>
    <row r="80" spans="1:8" ht="31.5" x14ac:dyDescent="0.25">
      <c r="A80" s="25" t="s">
        <v>147</v>
      </c>
      <c r="B80" s="16">
        <v>902</v>
      </c>
      <c r="C80" s="9" t="s">
        <v>134</v>
      </c>
      <c r="D80" s="9" t="s">
        <v>156</v>
      </c>
      <c r="E80" s="5" t="s">
        <v>192</v>
      </c>
      <c r="F80" s="9" t="s">
        <v>148</v>
      </c>
      <c r="G80" s="26">
        <f>G81</f>
        <v>50</v>
      </c>
      <c r="H80" s="177"/>
    </row>
    <row r="81" spans="1:9" ht="47.25" x14ac:dyDescent="0.25">
      <c r="A81" s="25" t="s">
        <v>149</v>
      </c>
      <c r="B81" s="16">
        <v>902</v>
      </c>
      <c r="C81" s="9" t="s">
        <v>134</v>
      </c>
      <c r="D81" s="9" t="s">
        <v>156</v>
      </c>
      <c r="E81" s="5" t="s">
        <v>192</v>
      </c>
      <c r="F81" s="9" t="s">
        <v>150</v>
      </c>
      <c r="G81" s="26">
        <v>50</v>
      </c>
      <c r="H81" s="177"/>
    </row>
    <row r="82" spans="1:9" ht="47.25" x14ac:dyDescent="0.25">
      <c r="A82" s="25" t="s">
        <v>193</v>
      </c>
      <c r="B82" s="16">
        <v>902</v>
      </c>
      <c r="C82" s="9" t="s">
        <v>134</v>
      </c>
      <c r="D82" s="9" t="s">
        <v>156</v>
      </c>
      <c r="E82" s="5" t="s">
        <v>194</v>
      </c>
      <c r="F82" s="9"/>
      <c r="G82" s="26">
        <f>G83</f>
        <v>15</v>
      </c>
      <c r="H82" s="177"/>
    </row>
    <row r="83" spans="1:9" ht="15.75" x14ac:dyDescent="0.25">
      <c r="A83" s="45" t="s">
        <v>195</v>
      </c>
      <c r="B83" s="16">
        <v>902</v>
      </c>
      <c r="C83" s="9" t="s">
        <v>134</v>
      </c>
      <c r="D83" s="9" t="s">
        <v>156</v>
      </c>
      <c r="E83" s="5" t="s">
        <v>196</v>
      </c>
      <c r="F83" s="9"/>
      <c r="G83" s="26">
        <f>G84</f>
        <v>15</v>
      </c>
      <c r="H83" s="177"/>
    </row>
    <row r="84" spans="1:9" ht="31.5" x14ac:dyDescent="0.25">
      <c r="A84" s="25" t="s">
        <v>147</v>
      </c>
      <c r="B84" s="16">
        <v>902</v>
      </c>
      <c r="C84" s="9" t="s">
        <v>134</v>
      </c>
      <c r="D84" s="9" t="s">
        <v>156</v>
      </c>
      <c r="E84" s="5" t="s">
        <v>196</v>
      </c>
      <c r="F84" s="9" t="s">
        <v>148</v>
      </c>
      <c r="G84" s="26">
        <f>G85</f>
        <v>15</v>
      </c>
      <c r="H84" s="177"/>
    </row>
    <row r="85" spans="1:9" ht="47.25" x14ac:dyDescent="0.25">
      <c r="A85" s="25" t="s">
        <v>149</v>
      </c>
      <c r="B85" s="16">
        <v>902</v>
      </c>
      <c r="C85" s="9" t="s">
        <v>134</v>
      </c>
      <c r="D85" s="9" t="s">
        <v>156</v>
      </c>
      <c r="E85" s="5" t="s">
        <v>196</v>
      </c>
      <c r="F85" s="9" t="s">
        <v>150</v>
      </c>
      <c r="G85" s="26">
        <v>15</v>
      </c>
      <c r="H85" s="177"/>
    </row>
    <row r="86" spans="1:9" ht="47.25" x14ac:dyDescent="0.25">
      <c r="A86" s="31" t="s">
        <v>197</v>
      </c>
      <c r="B86" s="16">
        <v>902</v>
      </c>
      <c r="C86" s="20" t="s">
        <v>134</v>
      </c>
      <c r="D86" s="20" t="s">
        <v>156</v>
      </c>
      <c r="E86" s="30" t="s">
        <v>198</v>
      </c>
      <c r="F86" s="32"/>
      <c r="G86" s="26">
        <f>G87</f>
        <v>120</v>
      </c>
      <c r="H86" s="177"/>
    </row>
    <row r="87" spans="1:9" ht="31.5" x14ac:dyDescent="0.25">
      <c r="A87" s="25" t="s">
        <v>173</v>
      </c>
      <c r="B87" s="16">
        <v>902</v>
      </c>
      <c r="C87" s="20" t="s">
        <v>134</v>
      </c>
      <c r="D87" s="20" t="s">
        <v>156</v>
      </c>
      <c r="E87" s="20" t="s">
        <v>199</v>
      </c>
      <c r="F87" s="32"/>
      <c r="G87" s="26">
        <f>G88</f>
        <v>120</v>
      </c>
      <c r="H87" s="177"/>
    </row>
    <row r="88" spans="1:9" ht="15.75" x14ac:dyDescent="0.25">
      <c r="A88" s="29" t="s">
        <v>151</v>
      </c>
      <c r="B88" s="16">
        <v>902</v>
      </c>
      <c r="C88" s="20" t="s">
        <v>134</v>
      </c>
      <c r="D88" s="20" t="s">
        <v>156</v>
      </c>
      <c r="E88" s="20" t="s">
        <v>199</v>
      </c>
      <c r="F88" s="32" t="s">
        <v>161</v>
      </c>
      <c r="G88" s="26">
        <f>G89</f>
        <v>120</v>
      </c>
      <c r="H88" s="177"/>
    </row>
    <row r="89" spans="1:9" ht="63" x14ac:dyDescent="0.25">
      <c r="A89" s="29" t="s">
        <v>200</v>
      </c>
      <c r="B89" s="16">
        <v>902</v>
      </c>
      <c r="C89" s="20" t="s">
        <v>134</v>
      </c>
      <c r="D89" s="20" t="s">
        <v>156</v>
      </c>
      <c r="E89" s="20" t="s">
        <v>199</v>
      </c>
      <c r="F89" s="32" t="s">
        <v>176</v>
      </c>
      <c r="G89" s="26">
        <f>100+20</f>
        <v>120</v>
      </c>
      <c r="H89" s="106"/>
      <c r="I89" s="126"/>
    </row>
    <row r="90" spans="1:9" ht="63" x14ac:dyDescent="0.25">
      <c r="A90" s="29" t="s">
        <v>730</v>
      </c>
      <c r="B90" s="16">
        <v>902</v>
      </c>
      <c r="C90" s="20" t="s">
        <v>134</v>
      </c>
      <c r="D90" s="20" t="s">
        <v>156</v>
      </c>
      <c r="E90" s="20" t="s">
        <v>728</v>
      </c>
      <c r="F90" s="32"/>
      <c r="G90" s="26">
        <f>G91</f>
        <v>29</v>
      </c>
      <c r="H90" s="108"/>
    </row>
    <row r="91" spans="1:9" ht="31.5" x14ac:dyDescent="0.25">
      <c r="A91" s="31" t="s">
        <v>173</v>
      </c>
      <c r="B91" s="16">
        <v>902</v>
      </c>
      <c r="C91" s="20" t="s">
        <v>134</v>
      </c>
      <c r="D91" s="20" t="s">
        <v>156</v>
      </c>
      <c r="E91" s="20" t="s">
        <v>736</v>
      </c>
      <c r="F91" s="32"/>
      <c r="G91" s="26">
        <f>G92</f>
        <v>29</v>
      </c>
      <c r="H91" s="108"/>
    </row>
    <row r="92" spans="1:9" ht="31.5" x14ac:dyDescent="0.25">
      <c r="A92" s="25" t="s">
        <v>147</v>
      </c>
      <c r="B92" s="16">
        <v>902</v>
      </c>
      <c r="C92" s="20" t="s">
        <v>134</v>
      </c>
      <c r="D92" s="20" t="s">
        <v>156</v>
      </c>
      <c r="E92" s="20" t="s">
        <v>736</v>
      </c>
      <c r="F92" s="32" t="s">
        <v>148</v>
      </c>
      <c r="G92" s="26">
        <f>G93</f>
        <v>29</v>
      </c>
      <c r="H92" s="108"/>
    </row>
    <row r="93" spans="1:9" ht="47.25" x14ac:dyDescent="0.25">
      <c r="A93" s="25" t="s">
        <v>149</v>
      </c>
      <c r="B93" s="16">
        <v>902</v>
      </c>
      <c r="C93" s="20" t="s">
        <v>134</v>
      </c>
      <c r="D93" s="20" t="s">
        <v>156</v>
      </c>
      <c r="E93" s="20" t="s">
        <v>736</v>
      </c>
      <c r="F93" s="32" t="s">
        <v>150</v>
      </c>
      <c r="G93" s="26">
        <v>29</v>
      </c>
      <c r="H93" s="108"/>
      <c r="I93" s="124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8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8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8"/>
      <c r="I96" s="124"/>
    </row>
    <row r="97" spans="1:9" ht="15.75" x14ac:dyDescent="0.25">
      <c r="A97" s="25" t="s">
        <v>137</v>
      </c>
      <c r="B97" s="16">
        <v>902</v>
      </c>
      <c r="C97" s="20" t="s">
        <v>134</v>
      </c>
      <c r="D97" s="20" t="s">
        <v>156</v>
      </c>
      <c r="E97" s="20" t="s">
        <v>138</v>
      </c>
      <c r="F97" s="20"/>
      <c r="G97" s="26">
        <f>G98+G121</f>
        <v>12340.3</v>
      </c>
      <c r="H97" s="177"/>
    </row>
    <row r="98" spans="1:9" ht="31.5" x14ac:dyDescent="0.25">
      <c r="A98" s="25" t="s">
        <v>201</v>
      </c>
      <c r="B98" s="16">
        <v>902</v>
      </c>
      <c r="C98" s="20" t="s">
        <v>134</v>
      </c>
      <c r="D98" s="20" t="s">
        <v>156</v>
      </c>
      <c r="E98" s="20" t="s">
        <v>202</v>
      </c>
      <c r="F98" s="20"/>
      <c r="G98" s="26">
        <f>G104+G107+G113+G116</f>
        <v>3600.8999999999996</v>
      </c>
      <c r="H98" s="177"/>
    </row>
    <row r="99" spans="1:9" ht="47.25" hidden="1" x14ac:dyDescent="0.25">
      <c r="A99" s="25" t="s">
        <v>203</v>
      </c>
      <c r="B99" s="16">
        <v>902</v>
      </c>
      <c r="C99" s="20" t="s">
        <v>134</v>
      </c>
      <c r="D99" s="20" t="s">
        <v>156</v>
      </c>
      <c r="E99" s="20" t="s">
        <v>204</v>
      </c>
      <c r="F99" s="24"/>
      <c r="G99" s="26">
        <f>G100+G102</f>
        <v>0</v>
      </c>
      <c r="H99" s="177"/>
    </row>
    <row r="100" spans="1:9" ht="94.5" hidden="1" x14ac:dyDescent="0.25">
      <c r="A100" s="25" t="s">
        <v>143</v>
      </c>
      <c r="B100" s="16">
        <v>902</v>
      </c>
      <c r="C100" s="20" t="s">
        <v>134</v>
      </c>
      <c r="D100" s="20" t="s">
        <v>156</v>
      </c>
      <c r="E100" s="20" t="s">
        <v>204</v>
      </c>
      <c r="F100" s="20" t="s">
        <v>144</v>
      </c>
      <c r="G100" s="26">
        <f>G101</f>
        <v>0</v>
      </c>
      <c r="H100" s="177"/>
    </row>
    <row r="101" spans="1:9" ht="31.5" hidden="1" x14ac:dyDescent="0.25">
      <c r="A101" s="25" t="s">
        <v>145</v>
      </c>
      <c r="B101" s="16">
        <v>902</v>
      </c>
      <c r="C101" s="20" t="s">
        <v>134</v>
      </c>
      <c r="D101" s="20" t="s">
        <v>156</v>
      </c>
      <c r="E101" s="20" t="s">
        <v>204</v>
      </c>
      <c r="F101" s="20" t="s">
        <v>146</v>
      </c>
      <c r="G101" s="26">
        <v>0</v>
      </c>
      <c r="H101" s="177"/>
    </row>
    <row r="102" spans="1:9" ht="31.5" hidden="1" x14ac:dyDescent="0.25">
      <c r="A102" s="25" t="s">
        <v>147</v>
      </c>
      <c r="B102" s="16">
        <v>902</v>
      </c>
      <c r="C102" s="20" t="s">
        <v>134</v>
      </c>
      <c r="D102" s="20" t="s">
        <v>156</v>
      </c>
      <c r="E102" s="20" t="s">
        <v>204</v>
      </c>
      <c r="F102" s="20" t="s">
        <v>148</v>
      </c>
      <c r="G102" s="26">
        <f>G103</f>
        <v>0</v>
      </c>
      <c r="H102" s="177"/>
    </row>
    <row r="103" spans="1:9" ht="47.25" hidden="1" x14ac:dyDescent="0.25">
      <c r="A103" s="25" t="s">
        <v>149</v>
      </c>
      <c r="B103" s="16">
        <v>902</v>
      </c>
      <c r="C103" s="20" t="s">
        <v>134</v>
      </c>
      <c r="D103" s="20" t="s">
        <v>156</v>
      </c>
      <c r="E103" s="20" t="s">
        <v>204</v>
      </c>
      <c r="F103" s="20" t="s">
        <v>150</v>
      </c>
      <c r="G103" s="26">
        <v>0</v>
      </c>
      <c r="H103" s="177"/>
    </row>
    <row r="104" spans="1:9" ht="47.25" x14ac:dyDescent="0.25">
      <c r="A104" s="31" t="s">
        <v>205</v>
      </c>
      <c r="B104" s="16">
        <v>902</v>
      </c>
      <c r="C104" s="20" t="s">
        <v>134</v>
      </c>
      <c r="D104" s="20" t="s">
        <v>156</v>
      </c>
      <c r="E104" s="20" t="s">
        <v>206</v>
      </c>
      <c r="F104" s="20"/>
      <c r="G104" s="26">
        <f>G105</f>
        <v>701.8</v>
      </c>
      <c r="H104" s="177"/>
    </row>
    <row r="105" spans="1:9" ht="94.5" x14ac:dyDescent="0.25">
      <c r="A105" s="25" t="s">
        <v>143</v>
      </c>
      <c r="B105" s="16">
        <v>902</v>
      </c>
      <c r="C105" s="20" t="s">
        <v>134</v>
      </c>
      <c r="D105" s="20" t="s">
        <v>156</v>
      </c>
      <c r="E105" s="20" t="s">
        <v>206</v>
      </c>
      <c r="F105" s="20" t="s">
        <v>144</v>
      </c>
      <c r="G105" s="26">
        <f>G106</f>
        <v>701.8</v>
      </c>
      <c r="H105" s="177"/>
    </row>
    <row r="106" spans="1:9" ht="31.5" x14ac:dyDescent="0.25">
      <c r="A106" s="25" t="s">
        <v>145</v>
      </c>
      <c r="B106" s="16">
        <v>902</v>
      </c>
      <c r="C106" s="20" t="s">
        <v>134</v>
      </c>
      <c r="D106" s="20" t="s">
        <v>156</v>
      </c>
      <c r="E106" s="20" t="s">
        <v>206</v>
      </c>
      <c r="F106" s="20" t="s">
        <v>146</v>
      </c>
      <c r="G106" s="26">
        <v>701.8</v>
      </c>
      <c r="H106" s="177"/>
      <c r="I106" s="115"/>
    </row>
    <row r="107" spans="1:9" ht="47.25" x14ac:dyDescent="0.25">
      <c r="A107" s="33" t="s">
        <v>207</v>
      </c>
      <c r="B107" s="16">
        <v>902</v>
      </c>
      <c r="C107" s="20" t="s">
        <v>134</v>
      </c>
      <c r="D107" s="20" t="s">
        <v>156</v>
      </c>
      <c r="E107" s="20" t="s">
        <v>208</v>
      </c>
      <c r="F107" s="20"/>
      <c r="G107" s="26">
        <f>G108</f>
        <v>40</v>
      </c>
      <c r="H107" s="177"/>
    </row>
    <row r="108" spans="1:9" ht="31.5" x14ac:dyDescent="0.25">
      <c r="A108" s="25" t="s">
        <v>147</v>
      </c>
      <c r="B108" s="16">
        <v>902</v>
      </c>
      <c r="C108" s="20" t="s">
        <v>134</v>
      </c>
      <c r="D108" s="20" t="s">
        <v>156</v>
      </c>
      <c r="E108" s="20" t="s">
        <v>208</v>
      </c>
      <c r="F108" s="20" t="s">
        <v>148</v>
      </c>
      <c r="G108" s="26">
        <f>G109</f>
        <v>40</v>
      </c>
      <c r="H108" s="177"/>
    </row>
    <row r="109" spans="1:9" ht="47.25" x14ac:dyDescent="0.25">
      <c r="A109" s="25" t="s">
        <v>149</v>
      </c>
      <c r="B109" s="16">
        <v>902</v>
      </c>
      <c r="C109" s="20" t="s">
        <v>134</v>
      </c>
      <c r="D109" s="20" t="s">
        <v>156</v>
      </c>
      <c r="E109" s="20" t="s">
        <v>208</v>
      </c>
      <c r="F109" s="20" t="s">
        <v>150</v>
      </c>
      <c r="G109" s="26">
        <f>36+4</f>
        <v>40</v>
      </c>
      <c r="H109" s="177"/>
      <c r="I109" s="115"/>
    </row>
    <row r="110" spans="1:9" ht="31.5" hidden="1" x14ac:dyDescent="0.25">
      <c r="A110" s="31" t="s">
        <v>209</v>
      </c>
      <c r="B110" s="16">
        <v>902</v>
      </c>
      <c r="C110" s="20" t="s">
        <v>134</v>
      </c>
      <c r="D110" s="20" t="s">
        <v>156</v>
      </c>
      <c r="E110" s="20" t="s">
        <v>208</v>
      </c>
      <c r="F110" s="20"/>
      <c r="G110" s="26">
        <f>G111</f>
        <v>0</v>
      </c>
      <c r="H110" s="177"/>
    </row>
    <row r="111" spans="1:9" ht="31.5" hidden="1" x14ac:dyDescent="0.25">
      <c r="A111" s="25" t="s">
        <v>147</v>
      </c>
      <c r="B111" s="16">
        <v>902</v>
      </c>
      <c r="C111" s="20" t="s">
        <v>134</v>
      </c>
      <c r="D111" s="20" t="s">
        <v>156</v>
      </c>
      <c r="E111" s="20" t="s">
        <v>208</v>
      </c>
      <c r="F111" s="20" t="s">
        <v>148</v>
      </c>
      <c r="G111" s="26">
        <f>G112</f>
        <v>0</v>
      </c>
      <c r="H111" s="177"/>
    </row>
    <row r="112" spans="1:9" ht="47.25" hidden="1" x14ac:dyDescent="0.25">
      <c r="A112" s="25" t="s">
        <v>149</v>
      </c>
      <c r="B112" s="16">
        <v>902</v>
      </c>
      <c r="C112" s="20" t="s">
        <v>134</v>
      </c>
      <c r="D112" s="20" t="s">
        <v>156</v>
      </c>
      <c r="E112" s="20" t="s">
        <v>208</v>
      </c>
      <c r="F112" s="20" t="s">
        <v>150</v>
      </c>
      <c r="G112" s="26"/>
      <c r="H112" s="177"/>
    </row>
    <row r="113" spans="1:9" ht="63" x14ac:dyDescent="0.25">
      <c r="A113" s="31" t="s">
        <v>210</v>
      </c>
      <c r="B113" s="16">
        <v>902</v>
      </c>
      <c r="C113" s="20" t="s">
        <v>134</v>
      </c>
      <c r="D113" s="20" t="s">
        <v>156</v>
      </c>
      <c r="E113" s="20" t="s">
        <v>211</v>
      </c>
      <c r="F113" s="20"/>
      <c r="G113" s="26">
        <f>G114</f>
        <v>1752.9</v>
      </c>
      <c r="H113" s="177"/>
    </row>
    <row r="114" spans="1:9" ht="94.5" x14ac:dyDescent="0.25">
      <c r="A114" s="25" t="s">
        <v>143</v>
      </c>
      <c r="B114" s="16">
        <v>902</v>
      </c>
      <c r="C114" s="20" t="s">
        <v>134</v>
      </c>
      <c r="D114" s="20" t="s">
        <v>156</v>
      </c>
      <c r="E114" s="20" t="s">
        <v>211</v>
      </c>
      <c r="F114" s="20" t="s">
        <v>144</v>
      </c>
      <c r="G114" s="26">
        <f>G115</f>
        <v>1752.9</v>
      </c>
      <c r="H114" s="177"/>
    </row>
    <row r="115" spans="1:9" ht="31.5" x14ac:dyDescent="0.25">
      <c r="A115" s="25" t="s">
        <v>145</v>
      </c>
      <c r="B115" s="16">
        <v>902</v>
      </c>
      <c r="C115" s="20" t="s">
        <v>134</v>
      </c>
      <c r="D115" s="20" t="s">
        <v>156</v>
      </c>
      <c r="E115" s="20" t="s">
        <v>211</v>
      </c>
      <c r="F115" s="20" t="s">
        <v>146</v>
      </c>
      <c r="G115" s="26">
        <v>1752.9</v>
      </c>
      <c r="H115" s="177"/>
    </row>
    <row r="116" spans="1:9" ht="47.25" x14ac:dyDescent="0.25">
      <c r="A116" s="31" t="s">
        <v>212</v>
      </c>
      <c r="B116" s="16">
        <v>902</v>
      </c>
      <c r="C116" s="20" t="s">
        <v>134</v>
      </c>
      <c r="D116" s="20" t="s">
        <v>156</v>
      </c>
      <c r="E116" s="20" t="s">
        <v>213</v>
      </c>
      <c r="F116" s="20"/>
      <c r="G116" s="26">
        <f>G117+G119</f>
        <v>1106.1999999999998</v>
      </c>
      <c r="H116" s="177"/>
    </row>
    <row r="117" spans="1:9" ht="94.5" x14ac:dyDescent="0.25">
      <c r="A117" s="25" t="s">
        <v>143</v>
      </c>
      <c r="B117" s="16">
        <v>902</v>
      </c>
      <c r="C117" s="20" t="s">
        <v>134</v>
      </c>
      <c r="D117" s="20" t="s">
        <v>156</v>
      </c>
      <c r="E117" s="20" t="s">
        <v>213</v>
      </c>
      <c r="F117" s="20" t="s">
        <v>144</v>
      </c>
      <c r="G117" s="26">
        <f>G118</f>
        <v>1073.0999999999999</v>
      </c>
      <c r="H117" s="177"/>
    </row>
    <row r="118" spans="1:9" ht="31.5" x14ac:dyDescent="0.25">
      <c r="A118" s="25" t="s">
        <v>145</v>
      </c>
      <c r="B118" s="16">
        <v>902</v>
      </c>
      <c r="C118" s="20" t="s">
        <v>134</v>
      </c>
      <c r="D118" s="20" t="s">
        <v>156</v>
      </c>
      <c r="E118" s="20" t="s">
        <v>213</v>
      </c>
      <c r="F118" s="20" t="s">
        <v>146</v>
      </c>
      <c r="G118" s="26">
        <f>1537-463.9</f>
        <v>1073.0999999999999</v>
      </c>
      <c r="H118" s="177"/>
      <c r="I118" s="115"/>
    </row>
    <row r="119" spans="1:9" ht="47.25" x14ac:dyDescent="0.25">
      <c r="A119" s="25" t="s">
        <v>214</v>
      </c>
      <c r="B119" s="16">
        <v>902</v>
      </c>
      <c r="C119" s="20" t="s">
        <v>134</v>
      </c>
      <c r="D119" s="20" t="s">
        <v>156</v>
      </c>
      <c r="E119" s="20" t="s">
        <v>213</v>
      </c>
      <c r="F119" s="20" t="s">
        <v>148</v>
      </c>
      <c r="G119" s="26">
        <f>G120</f>
        <v>33.1</v>
      </c>
      <c r="H119" s="177"/>
    </row>
    <row r="120" spans="1:9" ht="47.25" x14ac:dyDescent="0.25">
      <c r="A120" s="25" t="s">
        <v>149</v>
      </c>
      <c r="B120" s="16">
        <v>902</v>
      </c>
      <c r="C120" s="20" t="s">
        <v>134</v>
      </c>
      <c r="D120" s="20" t="s">
        <v>156</v>
      </c>
      <c r="E120" s="20" t="s">
        <v>213</v>
      </c>
      <c r="F120" s="20" t="s">
        <v>150</v>
      </c>
      <c r="G120" s="26">
        <v>33.1</v>
      </c>
      <c r="H120" s="177"/>
    </row>
    <row r="121" spans="1:9" ht="15.75" x14ac:dyDescent="0.25">
      <c r="A121" s="25" t="s">
        <v>157</v>
      </c>
      <c r="B121" s="16">
        <v>902</v>
      </c>
      <c r="C121" s="20" t="s">
        <v>134</v>
      </c>
      <c r="D121" s="20" t="s">
        <v>156</v>
      </c>
      <c r="E121" s="20" t="s">
        <v>158</v>
      </c>
      <c r="F121" s="20"/>
      <c r="G121" s="26">
        <f>G134+G139+G144</f>
        <v>8739.4</v>
      </c>
      <c r="H121" s="177"/>
    </row>
    <row r="122" spans="1:9" ht="15.75" hidden="1" x14ac:dyDescent="0.25">
      <c r="A122" s="25" t="s">
        <v>215</v>
      </c>
      <c r="B122" s="16">
        <v>902</v>
      </c>
      <c r="C122" s="20" t="s">
        <v>134</v>
      </c>
      <c r="D122" s="20" t="s">
        <v>156</v>
      </c>
      <c r="E122" s="20" t="s">
        <v>216</v>
      </c>
      <c r="F122" s="20"/>
      <c r="G122" s="26">
        <f>G123</f>
        <v>0</v>
      </c>
      <c r="H122" s="177"/>
    </row>
    <row r="123" spans="1:9" ht="33" hidden="1" customHeight="1" x14ac:dyDescent="0.25">
      <c r="A123" s="25" t="s">
        <v>214</v>
      </c>
      <c r="B123" s="16">
        <v>902</v>
      </c>
      <c r="C123" s="20" t="s">
        <v>134</v>
      </c>
      <c r="D123" s="20" t="s">
        <v>156</v>
      </c>
      <c r="E123" s="20" t="s">
        <v>216</v>
      </c>
      <c r="F123" s="20" t="s">
        <v>148</v>
      </c>
      <c r="G123" s="26">
        <f>G124</f>
        <v>0</v>
      </c>
      <c r="H123" s="177"/>
    </row>
    <row r="124" spans="1:9" ht="47.25" hidden="1" x14ac:dyDescent="0.25">
      <c r="A124" s="25" t="s">
        <v>149</v>
      </c>
      <c r="B124" s="16">
        <v>902</v>
      </c>
      <c r="C124" s="20" t="s">
        <v>134</v>
      </c>
      <c r="D124" s="20" t="s">
        <v>156</v>
      </c>
      <c r="E124" s="20" t="s">
        <v>216</v>
      </c>
      <c r="F124" s="20" t="s">
        <v>150</v>
      </c>
      <c r="G124" s="26">
        <v>0</v>
      </c>
      <c r="H124" s="177"/>
    </row>
    <row r="125" spans="1:9" ht="15.75" hidden="1" x14ac:dyDescent="0.25">
      <c r="A125" s="25" t="s">
        <v>217</v>
      </c>
      <c r="B125" s="16">
        <v>902</v>
      </c>
      <c r="C125" s="20" t="s">
        <v>134</v>
      </c>
      <c r="D125" s="20" t="s">
        <v>156</v>
      </c>
      <c r="E125" s="20" t="s">
        <v>218</v>
      </c>
      <c r="F125" s="24"/>
      <c r="G125" s="26">
        <f>G126</f>
        <v>0</v>
      </c>
      <c r="H125" s="177"/>
    </row>
    <row r="126" spans="1:9" ht="47.25" hidden="1" x14ac:dyDescent="0.25">
      <c r="A126" s="25" t="s">
        <v>214</v>
      </c>
      <c r="B126" s="16">
        <v>902</v>
      </c>
      <c r="C126" s="20" t="s">
        <v>134</v>
      </c>
      <c r="D126" s="20" t="s">
        <v>156</v>
      </c>
      <c r="E126" s="20" t="s">
        <v>218</v>
      </c>
      <c r="F126" s="20" t="s">
        <v>148</v>
      </c>
      <c r="G126" s="26">
        <f>G127</f>
        <v>0</v>
      </c>
      <c r="H126" s="177"/>
    </row>
    <row r="127" spans="1:9" ht="47.25" hidden="1" x14ac:dyDescent="0.25">
      <c r="A127" s="25" t="s">
        <v>149</v>
      </c>
      <c r="B127" s="16">
        <v>902</v>
      </c>
      <c r="C127" s="20" t="s">
        <v>134</v>
      </c>
      <c r="D127" s="20" t="s">
        <v>156</v>
      </c>
      <c r="E127" s="20" t="s">
        <v>218</v>
      </c>
      <c r="F127" s="20" t="s">
        <v>150</v>
      </c>
      <c r="G127" s="26">
        <v>0</v>
      </c>
      <c r="H127" s="177"/>
    </row>
    <row r="128" spans="1:9" ht="31.5" hidden="1" x14ac:dyDescent="0.25">
      <c r="A128" s="25" t="s">
        <v>219</v>
      </c>
      <c r="B128" s="16">
        <v>902</v>
      </c>
      <c r="C128" s="20" t="s">
        <v>134</v>
      </c>
      <c r="D128" s="20" t="s">
        <v>156</v>
      </c>
      <c r="E128" s="20" t="s">
        <v>220</v>
      </c>
      <c r="F128" s="20"/>
      <c r="G128" s="26">
        <f>G129</f>
        <v>0</v>
      </c>
      <c r="H128" s="177"/>
    </row>
    <row r="129" spans="1:9" ht="47.25" hidden="1" x14ac:dyDescent="0.25">
      <c r="A129" s="25" t="s">
        <v>214</v>
      </c>
      <c r="B129" s="16">
        <v>902</v>
      </c>
      <c r="C129" s="20" t="s">
        <v>134</v>
      </c>
      <c r="D129" s="20" t="s">
        <v>156</v>
      </c>
      <c r="E129" s="20" t="s">
        <v>220</v>
      </c>
      <c r="F129" s="20" t="s">
        <v>148</v>
      </c>
      <c r="G129" s="26">
        <f>G130</f>
        <v>0</v>
      </c>
      <c r="H129" s="177"/>
    </row>
    <row r="130" spans="1:9" ht="47.25" hidden="1" x14ac:dyDescent="0.25">
      <c r="A130" s="25" t="s">
        <v>149</v>
      </c>
      <c r="B130" s="16">
        <v>902</v>
      </c>
      <c r="C130" s="20" t="s">
        <v>134</v>
      </c>
      <c r="D130" s="20" t="s">
        <v>156</v>
      </c>
      <c r="E130" s="20" t="s">
        <v>220</v>
      </c>
      <c r="F130" s="20" t="s">
        <v>150</v>
      </c>
      <c r="G130" s="26">
        <v>0</v>
      </c>
      <c r="H130" s="177"/>
    </row>
    <row r="131" spans="1:9" ht="15.75" hidden="1" x14ac:dyDescent="0.25">
      <c r="A131" s="25" t="s">
        <v>195</v>
      </c>
      <c r="B131" s="16">
        <v>902</v>
      </c>
      <c r="C131" s="20" t="s">
        <v>134</v>
      </c>
      <c r="D131" s="20" t="s">
        <v>156</v>
      </c>
      <c r="E131" s="20" t="s">
        <v>221</v>
      </c>
      <c r="F131" s="20"/>
      <c r="G131" s="26">
        <f>G132</f>
        <v>0</v>
      </c>
      <c r="H131" s="177"/>
    </row>
    <row r="132" spans="1:9" ht="47.25" hidden="1" x14ac:dyDescent="0.25">
      <c r="A132" s="25" t="s">
        <v>214</v>
      </c>
      <c r="B132" s="16">
        <v>902</v>
      </c>
      <c r="C132" s="20" t="s">
        <v>134</v>
      </c>
      <c r="D132" s="20" t="s">
        <v>156</v>
      </c>
      <c r="E132" s="20" t="s">
        <v>221</v>
      </c>
      <c r="F132" s="20" t="s">
        <v>148</v>
      </c>
      <c r="G132" s="26">
        <f>G133</f>
        <v>0</v>
      </c>
      <c r="H132" s="177"/>
    </row>
    <row r="133" spans="1:9" ht="47.25" hidden="1" x14ac:dyDescent="0.25">
      <c r="A133" s="25" t="s">
        <v>149</v>
      </c>
      <c r="B133" s="16">
        <v>902</v>
      </c>
      <c r="C133" s="20" t="s">
        <v>134</v>
      </c>
      <c r="D133" s="20" t="s">
        <v>156</v>
      </c>
      <c r="E133" s="20" t="s">
        <v>221</v>
      </c>
      <c r="F133" s="20" t="s">
        <v>150</v>
      </c>
      <c r="G133" s="26">
        <v>0</v>
      </c>
      <c r="H133" s="177"/>
    </row>
    <row r="134" spans="1:9" ht="31.5" x14ac:dyDescent="0.25">
      <c r="A134" s="25" t="s">
        <v>222</v>
      </c>
      <c r="B134" s="16">
        <v>902</v>
      </c>
      <c r="C134" s="20" t="s">
        <v>134</v>
      </c>
      <c r="D134" s="20" t="s">
        <v>156</v>
      </c>
      <c r="E134" s="20" t="s">
        <v>223</v>
      </c>
      <c r="F134" s="20"/>
      <c r="G134" s="26">
        <f>G135+G137</f>
        <v>6126.7</v>
      </c>
      <c r="H134" s="177"/>
    </row>
    <row r="135" spans="1:9" ht="94.5" x14ac:dyDescent="0.25">
      <c r="A135" s="25" t="s">
        <v>143</v>
      </c>
      <c r="B135" s="16">
        <v>902</v>
      </c>
      <c r="C135" s="20" t="s">
        <v>134</v>
      </c>
      <c r="D135" s="20" t="s">
        <v>156</v>
      </c>
      <c r="E135" s="20" t="s">
        <v>223</v>
      </c>
      <c r="F135" s="20" t="s">
        <v>144</v>
      </c>
      <c r="G135" s="26">
        <f>G136</f>
        <v>4952</v>
      </c>
      <c r="H135" s="177"/>
    </row>
    <row r="136" spans="1:9" ht="31.5" x14ac:dyDescent="0.25">
      <c r="A136" s="25" t="s">
        <v>224</v>
      </c>
      <c r="B136" s="16">
        <v>902</v>
      </c>
      <c r="C136" s="20" t="s">
        <v>134</v>
      </c>
      <c r="D136" s="20" t="s">
        <v>156</v>
      </c>
      <c r="E136" s="20" t="s">
        <v>223</v>
      </c>
      <c r="F136" s="20" t="s">
        <v>225</v>
      </c>
      <c r="G136" s="27">
        <f>5174.7-222.7</f>
        <v>4952</v>
      </c>
      <c r="H136" s="177"/>
    </row>
    <row r="137" spans="1:9" ht="47.25" x14ac:dyDescent="0.25">
      <c r="A137" s="25" t="s">
        <v>214</v>
      </c>
      <c r="B137" s="16">
        <v>902</v>
      </c>
      <c r="C137" s="20" t="s">
        <v>134</v>
      </c>
      <c r="D137" s="20" t="s">
        <v>156</v>
      </c>
      <c r="E137" s="20" t="s">
        <v>223</v>
      </c>
      <c r="F137" s="20" t="s">
        <v>148</v>
      </c>
      <c r="G137" s="26">
        <f>G138</f>
        <v>1174.7</v>
      </c>
      <c r="H137" s="177"/>
    </row>
    <row r="138" spans="1:9" ht="47.25" x14ac:dyDescent="0.25">
      <c r="A138" s="25" t="s">
        <v>149</v>
      </c>
      <c r="B138" s="16">
        <v>902</v>
      </c>
      <c r="C138" s="20" t="s">
        <v>134</v>
      </c>
      <c r="D138" s="20" t="s">
        <v>156</v>
      </c>
      <c r="E138" s="20" t="s">
        <v>223</v>
      </c>
      <c r="F138" s="20" t="s">
        <v>150</v>
      </c>
      <c r="G138" s="27">
        <f>724.7+450</f>
        <v>1174.7</v>
      </c>
      <c r="H138" s="177"/>
      <c r="I138" s="115"/>
    </row>
    <row r="139" spans="1:9" ht="47.25" x14ac:dyDescent="0.25">
      <c r="A139" s="25" t="s">
        <v>226</v>
      </c>
      <c r="B139" s="16">
        <v>902</v>
      </c>
      <c r="C139" s="20" t="s">
        <v>134</v>
      </c>
      <c r="D139" s="20" t="s">
        <v>156</v>
      </c>
      <c r="E139" s="20" t="s">
        <v>227</v>
      </c>
      <c r="F139" s="20"/>
      <c r="G139" s="26">
        <f>G140+G142</f>
        <v>2520.4</v>
      </c>
      <c r="H139" s="177"/>
    </row>
    <row r="140" spans="1:9" ht="94.5" x14ac:dyDescent="0.25">
      <c r="A140" s="25" t="s">
        <v>143</v>
      </c>
      <c r="B140" s="16">
        <v>902</v>
      </c>
      <c r="C140" s="20" t="s">
        <v>134</v>
      </c>
      <c r="D140" s="20" t="s">
        <v>156</v>
      </c>
      <c r="E140" s="20" t="s">
        <v>227</v>
      </c>
      <c r="F140" s="20" t="s">
        <v>144</v>
      </c>
      <c r="G140" s="26">
        <f>G141</f>
        <v>1895</v>
      </c>
      <c r="H140" s="177"/>
    </row>
    <row r="141" spans="1:9" ht="31.5" x14ac:dyDescent="0.25">
      <c r="A141" s="25" t="s">
        <v>145</v>
      </c>
      <c r="B141" s="16">
        <v>902</v>
      </c>
      <c r="C141" s="20" t="s">
        <v>134</v>
      </c>
      <c r="D141" s="20" t="s">
        <v>156</v>
      </c>
      <c r="E141" s="20" t="s">
        <v>227</v>
      </c>
      <c r="F141" s="20" t="s">
        <v>146</v>
      </c>
      <c r="G141" s="27">
        <f>1952.2-57.2</f>
        <v>1895</v>
      </c>
      <c r="H141" s="177"/>
      <c r="I141" s="115"/>
    </row>
    <row r="142" spans="1:9" ht="47.25" x14ac:dyDescent="0.25">
      <c r="A142" s="25" t="s">
        <v>214</v>
      </c>
      <c r="B142" s="16">
        <v>902</v>
      </c>
      <c r="C142" s="20" t="s">
        <v>134</v>
      </c>
      <c r="D142" s="20" t="s">
        <v>156</v>
      </c>
      <c r="E142" s="20" t="s">
        <v>227</v>
      </c>
      <c r="F142" s="20" t="s">
        <v>148</v>
      </c>
      <c r="G142" s="26">
        <f>G143</f>
        <v>625.4</v>
      </c>
      <c r="H142" s="177"/>
    </row>
    <row r="143" spans="1:9" ht="47.25" x14ac:dyDescent="0.25">
      <c r="A143" s="25" t="s">
        <v>149</v>
      </c>
      <c r="B143" s="16">
        <v>902</v>
      </c>
      <c r="C143" s="20" t="s">
        <v>134</v>
      </c>
      <c r="D143" s="20" t="s">
        <v>156</v>
      </c>
      <c r="E143" s="20" t="s">
        <v>227</v>
      </c>
      <c r="F143" s="20" t="s">
        <v>150</v>
      </c>
      <c r="G143" s="26">
        <f>821.9-196.5</f>
        <v>625.4</v>
      </c>
      <c r="H143" s="177"/>
    </row>
    <row r="144" spans="1:9" ht="15.75" x14ac:dyDescent="0.25">
      <c r="A144" s="45" t="s">
        <v>159</v>
      </c>
      <c r="B144" s="16">
        <v>902</v>
      </c>
      <c r="C144" s="20" t="s">
        <v>134</v>
      </c>
      <c r="D144" s="20" t="s">
        <v>156</v>
      </c>
      <c r="E144" s="20" t="s">
        <v>160</v>
      </c>
      <c r="F144" s="20"/>
      <c r="G144" s="26">
        <f>G145</f>
        <v>92.3</v>
      </c>
      <c r="H144" s="177"/>
    </row>
    <row r="145" spans="1:8" ht="15.75" x14ac:dyDescent="0.25">
      <c r="A145" s="25" t="s">
        <v>151</v>
      </c>
      <c r="B145" s="16">
        <v>902</v>
      </c>
      <c r="C145" s="20" t="s">
        <v>134</v>
      </c>
      <c r="D145" s="20" t="s">
        <v>156</v>
      </c>
      <c r="E145" s="20" t="s">
        <v>160</v>
      </c>
      <c r="F145" s="20" t="s">
        <v>161</v>
      </c>
      <c r="G145" s="26">
        <f>G146</f>
        <v>92.3</v>
      </c>
      <c r="H145" s="177"/>
    </row>
    <row r="146" spans="1:8" ht="15.75" x14ac:dyDescent="0.25">
      <c r="A146" s="25" t="s">
        <v>162</v>
      </c>
      <c r="B146" s="16">
        <v>902</v>
      </c>
      <c r="C146" s="20" t="s">
        <v>134</v>
      </c>
      <c r="D146" s="20" t="s">
        <v>156</v>
      </c>
      <c r="E146" s="20" t="s">
        <v>160</v>
      </c>
      <c r="F146" s="20" t="s">
        <v>163</v>
      </c>
      <c r="G146" s="26">
        <v>92.3</v>
      </c>
      <c r="H146" s="106"/>
    </row>
    <row r="147" spans="1:8" ht="15.75" hidden="1" x14ac:dyDescent="0.25">
      <c r="A147" s="23" t="s">
        <v>228</v>
      </c>
      <c r="B147" s="19">
        <v>902</v>
      </c>
      <c r="C147" s="24" t="s">
        <v>229</v>
      </c>
      <c r="D147" s="24"/>
      <c r="E147" s="24"/>
      <c r="F147" s="24"/>
      <c r="G147" s="21">
        <f>G148+G154</f>
        <v>0</v>
      </c>
      <c r="H147" s="177"/>
    </row>
    <row r="148" spans="1:8" ht="31.5" hidden="1" x14ac:dyDescent="0.25">
      <c r="A148" s="23" t="s">
        <v>230</v>
      </c>
      <c r="B148" s="19">
        <v>902</v>
      </c>
      <c r="C148" s="24" t="s">
        <v>229</v>
      </c>
      <c r="D148" s="24" t="s">
        <v>231</v>
      </c>
      <c r="E148" s="24"/>
      <c r="F148" s="24"/>
      <c r="G148" s="21">
        <f>G149</f>
        <v>0</v>
      </c>
      <c r="H148" s="177"/>
    </row>
    <row r="149" spans="1:8" ht="15.75" hidden="1" x14ac:dyDescent="0.25">
      <c r="A149" s="25" t="s">
        <v>137</v>
      </c>
      <c r="B149" s="16">
        <v>902</v>
      </c>
      <c r="C149" s="20" t="s">
        <v>229</v>
      </c>
      <c r="D149" s="20" t="s">
        <v>231</v>
      </c>
      <c r="E149" s="20" t="s">
        <v>138</v>
      </c>
      <c r="F149" s="20"/>
      <c r="G149" s="26">
        <f>G150</f>
        <v>0</v>
      </c>
      <c r="H149" s="177"/>
    </row>
    <row r="150" spans="1:8" ht="31.5" hidden="1" x14ac:dyDescent="0.25">
      <c r="A150" s="25" t="s">
        <v>201</v>
      </c>
      <c r="B150" s="16">
        <v>902</v>
      </c>
      <c r="C150" s="20" t="s">
        <v>229</v>
      </c>
      <c r="D150" s="20" t="s">
        <v>231</v>
      </c>
      <c r="E150" s="20" t="s">
        <v>202</v>
      </c>
      <c r="F150" s="20"/>
      <c r="G150" s="26">
        <f>G151</f>
        <v>0</v>
      </c>
      <c r="H150" s="177"/>
    </row>
    <row r="151" spans="1:8" ht="47.25" hidden="1" x14ac:dyDescent="0.25">
      <c r="A151" s="25" t="s">
        <v>232</v>
      </c>
      <c r="B151" s="16">
        <v>902</v>
      </c>
      <c r="C151" s="20" t="s">
        <v>229</v>
      </c>
      <c r="D151" s="20" t="s">
        <v>231</v>
      </c>
      <c r="E151" s="20" t="s">
        <v>233</v>
      </c>
      <c r="F151" s="20"/>
      <c r="G151" s="26">
        <f>G152</f>
        <v>0</v>
      </c>
      <c r="H151" s="177"/>
    </row>
    <row r="152" spans="1:8" ht="94.5" hidden="1" x14ac:dyDescent="0.25">
      <c r="A152" s="25" t="s">
        <v>143</v>
      </c>
      <c r="B152" s="16">
        <v>902</v>
      </c>
      <c r="C152" s="20" t="s">
        <v>229</v>
      </c>
      <c r="D152" s="20" t="s">
        <v>231</v>
      </c>
      <c r="E152" s="20" t="s">
        <v>233</v>
      </c>
      <c r="F152" s="20" t="s">
        <v>144</v>
      </c>
      <c r="G152" s="26">
        <f>G153</f>
        <v>0</v>
      </c>
      <c r="H152" s="177"/>
    </row>
    <row r="153" spans="1:8" ht="31.5" hidden="1" x14ac:dyDescent="0.25">
      <c r="A153" s="25" t="s">
        <v>145</v>
      </c>
      <c r="B153" s="16">
        <v>902</v>
      </c>
      <c r="C153" s="20" t="s">
        <v>229</v>
      </c>
      <c r="D153" s="20" t="s">
        <v>231</v>
      </c>
      <c r="E153" s="20" t="s">
        <v>233</v>
      </c>
      <c r="F153" s="20" t="s">
        <v>146</v>
      </c>
      <c r="G153" s="27"/>
      <c r="H153" s="177"/>
    </row>
    <row r="154" spans="1:8" ht="31.5" hidden="1" x14ac:dyDescent="0.25">
      <c r="A154" s="23" t="s">
        <v>234</v>
      </c>
      <c r="B154" s="19">
        <v>902</v>
      </c>
      <c r="C154" s="24" t="s">
        <v>229</v>
      </c>
      <c r="D154" s="24" t="s">
        <v>235</v>
      </c>
      <c r="E154" s="24"/>
      <c r="F154" s="24"/>
      <c r="G154" s="26">
        <f>G155</f>
        <v>0</v>
      </c>
      <c r="H154" s="177"/>
    </row>
    <row r="155" spans="1:8" ht="15.75" hidden="1" x14ac:dyDescent="0.25">
      <c r="A155" s="25" t="s">
        <v>137</v>
      </c>
      <c r="B155" s="16">
        <v>902</v>
      </c>
      <c r="C155" s="20" t="s">
        <v>229</v>
      </c>
      <c r="D155" s="20" t="s">
        <v>235</v>
      </c>
      <c r="E155" s="20" t="s">
        <v>138</v>
      </c>
      <c r="F155" s="20"/>
      <c r="G155" s="26">
        <f>G156</f>
        <v>0</v>
      </c>
      <c r="H155" s="177"/>
    </row>
    <row r="156" spans="1:8" ht="31.5" hidden="1" x14ac:dyDescent="0.25">
      <c r="A156" s="25" t="s">
        <v>236</v>
      </c>
      <c r="B156" s="16">
        <v>902</v>
      </c>
      <c r="C156" s="20" t="s">
        <v>229</v>
      </c>
      <c r="D156" s="20" t="s">
        <v>235</v>
      </c>
      <c r="E156" s="20" t="s">
        <v>237</v>
      </c>
      <c r="F156" s="20"/>
      <c r="G156" s="26">
        <f>G157</f>
        <v>0</v>
      </c>
      <c r="H156" s="177"/>
    </row>
    <row r="157" spans="1:8" ht="47.25" hidden="1" x14ac:dyDescent="0.25">
      <c r="A157" s="25" t="s">
        <v>214</v>
      </c>
      <c r="B157" s="16">
        <v>902</v>
      </c>
      <c r="C157" s="20" t="s">
        <v>229</v>
      </c>
      <c r="D157" s="20" t="s">
        <v>235</v>
      </c>
      <c r="E157" s="20" t="s">
        <v>237</v>
      </c>
      <c r="F157" s="20" t="s">
        <v>148</v>
      </c>
      <c r="G157" s="26">
        <f>G158</f>
        <v>0</v>
      </c>
      <c r="H157" s="177"/>
    </row>
    <row r="158" spans="1:8" ht="47.25" hidden="1" x14ac:dyDescent="0.25">
      <c r="A158" s="25" t="s">
        <v>149</v>
      </c>
      <c r="B158" s="16">
        <v>902</v>
      </c>
      <c r="C158" s="20" t="s">
        <v>229</v>
      </c>
      <c r="D158" s="20" t="s">
        <v>235</v>
      </c>
      <c r="E158" s="20" t="s">
        <v>237</v>
      </c>
      <c r="F158" s="20" t="s">
        <v>150</v>
      </c>
      <c r="G158" s="26">
        <v>0</v>
      </c>
      <c r="H158" s="177"/>
    </row>
    <row r="159" spans="1:8" ht="31.5" x14ac:dyDescent="0.25">
      <c r="A159" s="23" t="s">
        <v>238</v>
      </c>
      <c r="B159" s="19">
        <v>902</v>
      </c>
      <c r="C159" s="24" t="s">
        <v>231</v>
      </c>
      <c r="D159" s="24"/>
      <c r="E159" s="24"/>
      <c r="F159" s="24"/>
      <c r="G159" s="21">
        <f>G160</f>
        <v>7159.4000000000005</v>
      </c>
      <c r="H159" s="177"/>
    </row>
    <row r="160" spans="1:8" ht="63" x14ac:dyDescent="0.25">
      <c r="A160" s="23" t="s">
        <v>239</v>
      </c>
      <c r="B160" s="19">
        <v>902</v>
      </c>
      <c r="C160" s="24" t="s">
        <v>231</v>
      </c>
      <c r="D160" s="24" t="s">
        <v>235</v>
      </c>
      <c r="E160" s="20"/>
      <c r="F160" s="20"/>
      <c r="G160" s="21">
        <f>G161</f>
        <v>7159.4000000000005</v>
      </c>
      <c r="H160" s="177"/>
    </row>
    <row r="161" spans="1:9" ht="15.75" x14ac:dyDescent="0.25">
      <c r="A161" s="25" t="s">
        <v>137</v>
      </c>
      <c r="B161" s="16">
        <v>902</v>
      </c>
      <c r="C161" s="20" t="s">
        <v>231</v>
      </c>
      <c r="D161" s="20" t="s">
        <v>235</v>
      </c>
      <c r="E161" s="20" t="s">
        <v>138</v>
      </c>
      <c r="F161" s="20"/>
      <c r="G161" s="26">
        <f>G162</f>
        <v>7159.4000000000005</v>
      </c>
      <c r="H161" s="177"/>
    </row>
    <row r="162" spans="1:9" ht="15.75" x14ac:dyDescent="0.25">
      <c r="A162" s="25" t="s">
        <v>157</v>
      </c>
      <c r="B162" s="16">
        <v>902</v>
      </c>
      <c r="C162" s="20" t="s">
        <v>231</v>
      </c>
      <c r="D162" s="20" t="s">
        <v>235</v>
      </c>
      <c r="E162" s="20" t="s">
        <v>158</v>
      </c>
      <c r="F162" s="20"/>
      <c r="G162" s="26">
        <f>G163+G169+G174</f>
        <v>7159.4000000000005</v>
      </c>
      <c r="H162" s="177"/>
    </row>
    <row r="163" spans="1:9" ht="47.25" x14ac:dyDescent="0.25">
      <c r="A163" s="25" t="s">
        <v>240</v>
      </c>
      <c r="B163" s="16">
        <v>902</v>
      </c>
      <c r="C163" s="20" t="s">
        <v>231</v>
      </c>
      <c r="D163" s="20" t="s">
        <v>235</v>
      </c>
      <c r="E163" s="20" t="s">
        <v>241</v>
      </c>
      <c r="F163" s="20"/>
      <c r="G163" s="26">
        <f>G164</f>
        <v>2064.1</v>
      </c>
      <c r="H163" s="177"/>
    </row>
    <row r="164" spans="1:9" ht="47.25" x14ac:dyDescent="0.25">
      <c r="A164" s="25" t="s">
        <v>214</v>
      </c>
      <c r="B164" s="16">
        <v>902</v>
      </c>
      <c r="C164" s="20" t="s">
        <v>231</v>
      </c>
      <c r="D164" s="20" t="s">
        <v>235</v>
      </c>
      <c r="E164" s="20" t="s">
        <v>241</v>
      </c>
      <c r="F164" s="20" t="s">
        <v>148</v>
      </c>
      <c r="G164" s="26">
        <f>G165</f>
        <v>2064.1</v>
      </c>
      <c r="H164" s="177"/>
    </row>
    <row r="165" spans="1:9" ht="47.25" x14ac:dyDescent="0.25">
      <c r="A165" s="25" t="s">
        <v>149</v>
      </c>
      <c r="B165" s="16">
        <v>902</v>
      </c>
      <c r="C165" s="20" t="s">
        <v>231</v>
      </c>
      <c r="D165" s="20" t="s">
        <v>235</v>
      </c>
      <c r="E165" s="20" t="s">
        <v>241</v>
      </c>
      <c r="F165" s="20" t="s">
        <v>150</v>
      </c>
      <c r="G165" s="159">
        <f>1908.4+354-98.3-100</f>
        <v>2064.1</v>
      </c>
      <c r="H165" s="106" t="s">
        <v>742</v>
      </c>
      <c r="I165" s="125"/>
    </row>
    <row r="166" spans="1:9" ht="15.75" hidden="1" x14ac:dyDescent="0.25">
      <c r="A166" s="25" t="s">
        <v>242</v>
      </c>
      <c r="B166" s="16">
        <v>902</v>
      </c>
      <c r="C166" s="20" t="s">
        <v>231</v>
      </c>
      <c r="D166" s="20" t="s">
        <v>235</v>
      </c>
      <c r="E166" s="20" t="s">
        <v>243</v>
      </c>
      <c r="F166" s="20"/>
      <c r="G166" s="26">
        <f>G167</f>
        <v>0</v>
      </c>
      <c r="H166" s="177"/>
    </row>
    <row r="167" spans="1:9" ht="47.25" hidden="1" x14ac:dyDescent="0.25">
      <c r="A167" s="25" t="s">
        <v>214</v>
      </c>
      <c r="B167" s="16">
        <v>902</v>
      </c>
      <c r="C167" s="20" t="s">
        <v>231</v>
      </c>
      <c r="D167" s="20" t="s">
        <v>235</v>
      </c>
      <c r="E167" s="20" t="s">
        <v>243</v>
      </c>
      <c r="F167" s="20" t="s">
        <v>148</v>
      </c>
      <c r="G167" s="26">
        <f>G168</f>
        <v>0</v>
      </c>
      <c r="H167" s="177"/>
    </row>
    <row r="168" spans="1:9" ht="47.25" hidden="1" x14ac:dyDescent="0.25">
      <c r="A168" s="25" t="s">
        <v>149</v>
      </c>
      <c r="B168" s="16">
        <v>902</v>
      </c>
      <c r="C168" s="20" t="s">
        <v>231</v>
      </c>
      <c r="D168" s="20" t="s">
        <v>235</v>
      </c>
      <c r="E168" s="20" t="s">
        <v>243</v>
      </c>
      <c r="F168" s="20" t="s">
        <v>150</v>
      </c>
      <c r="G168" s="26">
        <v>0</v>
      </c>
      <c r="H168" s="177"/>
    </row>
    <row r="169" spans="1:9" ht="31.5" x14ac:dyDescent="0.25">
      <c r="A169" s="25" t="s">
        <v>244</v>
      </c>
      <c r="B169" s="16">
        <v>902</v>
      </c>
      <c r="C169" s="20" t="s">
        <v>231</v>
      </c>
      <c r="D169" s="20" t="s">
        <v>235</v>
      </c>
      <c r="E169" s="20" t="s">
        <v>245</v>
      </c>
      <c r="F169" s="20"/>
      <c r="G169" s="26">
        <f>G170+G172</f>
        <v>4997</v>
      </c>
      <c r="H169" s="177"/>
    </row>
    <row r="170" spans="1:9" ht="94.5" x14ac:dyDescent="0.25">
      <c r="A170" s="25" t="s">
        <v>143</v>
      </c>
      <c r="B170" s="16">
        <v>902</v>
      </c>
      <c r="C170" s="20" t="s">
        <v>231</v>
      </c>
      <c r="D170" s="20" t="s">
        <v>235</v>
      </c>
      <c r="E170" s="20" t="s">
        <v>245</v>
      </c>
      <c r="F170" s="20" t="s">
        <v>144</v>
      </c>
      <c r="G170" s="26">
        <f>G171</f>
        <v>4692.3</v>
      </c>
      <c r="H170" s="177"/>
    </row>
    <row r="171" spans="1:9" ht="31.5" x14ac:dyDescent="0.25">
      <c r="A171" s="25" t="s">
        <v>224</v>
      </c>
      <c r="B171" s="16">
        <v>902</v>
      </c>
      <c r="C171" s="20" t="s">
        <v>231</v>
      </c>
      <c r="D171" s="20" t="s">
        <v>235</v>
      </c>
      <c r="E171" s="20" t="s">
        <v>245</v>
      </c>
      <c r="F171" s="20" t="s">
        <v>225</v>
      </c>
      <c r="G171" s="27">
        <f>4586.3+106</f>
        <v>4692.3</v>
      </c>
      <c r="H171" s="177"/>
    </row>
    <row r="172" spans="1:9" ht="47.25" x14ac:dyDescent="0.25">
      <c r="A172" s="25" t="s">
        <v>214</v>
      </c>
      <c r="B172" s="16">
        <v>902</v>
      </c>
      <c r="C172" s="20" t="s">
        <v>231</v>
      </c>
      <c r="D172" s="20" t="s">
        <v>235</v>
      </c>
      <c r="E172" s="20" t="s">
        <v>245</v>
      </c>
      <c r="F172" s="20" t="s">
        <v>148</v>
      </c>
      <c r="G172" s="26">
        <f>G173</f>
        <v>304.7</v>
      </c>
      <c r="H172" s="177"/>
    </row>
    <row r="173" spans="1:9" ht="47.25" x14ac:dyDescent="0.25">
      <c r="A173" s="25" t="s">
        <v>149</v>
      </c>
      <c r="B173" s="16">
        <v>902</v>
      </c>
      <c r="C173" s="20" t="s">
        <v>231</v>
      </c>
      <c r="D173" s="20" t="s">
        <v>235</v>
      </c>
      <c r="E173" s="20" t="s">
        <v>245</v>
      </c>
      <c r="F173" s="20" t="s">
        <v>150</v>
      </c>
      <c r="G173" s="156">
        <f>204.7+100</f>
        <v>304.7</v>
      </c>
      <c r="H173" s="157" t="s">
        <v>743</v>
      </c>
    </row>
    <row r="174" spans="1:9" ht="15.75" x14ac:dyDescent="0.25">
      <c r="A174" s="25" t="s">
        <v>246</v>
      </c>
      <c r="B174" s="16">
        <v>902</v>
      </c>
      <c r="C174" s="20" t="s">
        <v>231</v>
      </c>
      <c r="D174" s="20" t="s">
        <v>235</v>
      </c>
      <c r="E174" s="20" t="s">
        <v>247</v>
      </c>
      <c r="F174" s="20"/>
      <c r="G174" s="27">
        <f>G175</f>
        <v>98.3</v>
      </c>
      <c r="H174" s="177"/>
    </row>
    <row r="175" spans="1:9" ht="47.25" x14ac:dyDescent="0.25">
      <c r="A175" s="25" t="s">
        <v>214</v>
      </c>
      <c r="B175" s="16">
        <v>902</v>
      </c>
      <c r="C175" s="20" t="s">
        <v>231</v>
      </c>
      <c r="D175" s="20" t="s">
        <v>235</v>
      </c>
      <c r="E175" s="20" t="s">
        <v>247</v>
      </c>
      <c r="F175" s="20" t="s">
        <v>148</v>
      </c>
      <c r="G175" s="27">
        <f>G176</f>
        <v>98.3</v>
      </c>
      <c r="H175" s="177"/>
    </row>
    <row r="176" spans="1:9" ht="47.25" x14ac:dyDescent="0.25">
      <c r="A176" s="25" t="s">
        <v>149</v>
      </c>
      <c r="B176" s="16">
        <v>902</v>
      </c>
      <c r="C176" s="20" t="s">
        <v>231</v>
      </c>
      <c r="D176" s="20" t="s">
        <v>235</v>
      </c>
      <c r="E176" s="20" t="s">
        <v>247</v>
      </c>
      <c r="F176" s="20" t="s">
        <v>150</v>
      </c>
      <c r="G176" s="27">
        <v>98.3</v>
      </c>
      <c r="H176" s="106"/>
      <c r="I176" s="124"/>
    </row>
    <row r="177" spans="1:9" ht="15.75" x14ac:dyDescent="0.25">
      <c r="A177" s="23" t="s">
        <v>248</v>
      </c>
      <c r="B177" s="19">
        <v>902</v>
      </c>
      <c r="C177" s="24" t="s">
        <v>166</v>
      </c>
      <c r="D177" s="24"/>
      <c r="E177" s="24"/>
      <c r="F177" s="20"/>
      <c r="G177" s="21">
        <f>G184+G178</f>
        <v>1821.3999999999999</v>
      </c>
      <c r="H177" s="177"/>
    </row>
    <row r="178" spans="1:9" ht="15.75" x14ac:dyDescent="0.25">
      <c r="A178" s="23" t="s">
        <v>249</v>
      </c>
      <c r="B178" s="19">
        <v>902</v>
      </c>
      <c r="C178" s="24" t="s">
        <v>166</v>
      </c>
      <c r="D178" s="24" t="s">
        <v>250</v>
      </c>
      <c r="E178" s="24"/>
      <c r="F178" s="20"/>
      <c r="G178" s="21">
        <f>G179</f>
        <v>450</v>
      </c>
      <c r="H178" s="177"/>
    </row>
    <row r="179" spans="1:9" ht="15.75" x14ac:dyDescent="0.25">
      <c r="A179" s="25" t="s">
        <v>137</v>
      </c>
      <c r="B179" s="16">
        <v>902</v>
      </c>
      <c r="C179" s="20" t="s">
        <v>166</v>
      </c>
      <c r="D179" s="20" t="s">
        <v>250</v>
      </c>
      <c r="E179" s="20" t="s">
        <v>138</v>
      </c>
      <c r="F179" s="20"/>
      <c r="G179" s="26">
        <f>G180</f>
        <v>450</v>
      </c>
      <c r="H179" s="177"/>
    </row>
    <row r="180" spans="1:9" ht="31.5" x14ac:dyDescent="0.25">
      <c r="A180" s="25" t="s">
        <v>201</v>
      </c>
      <c r="B180" s="16">
        <v>902</v>
      </c>
      <c r="C180" s="20" t="s">
        <v>166</v>
      </c>
      <c r="D180" s="20" t="s">
        <v>250</v>
      </c>
      <c r="E180" s="20" t="s">
        <v>202</v>
      </c>
      <c r="F180" s="20"/>
      <c r="G180" s="26">
        <f>G181</f>
        <v>450</v>
      </c>
      <c r="H180" s="177"/>
    </row>
    <row r="181" spans="1:9" ht="31.5" x14ac:dyDescent="0.25">
      <c r="A181" s="25" t="s">
        <v>251</v>
      </c>
      <c r="B181" s="16">
        <v>902</v>
      </c>
      <c r="C181" s="20" t="s">
        <v>166</v>
      </c>
      <c r="D181" s="20" t="s">
        <v>250</v>
      </c>
      <c r="E181" s="20" t="s">
        <v>252</v>
      </c>
      <c r="F181" s="20"/>
      <c r="G181" s="26">
        <f>G182</f>
        <v>450</v>
      </c>
      <c r="H181" s="177"/>
    </row>
    <row r="182" spans="1:9" ht="15.75" x14ac:dyDescent="0.25">
      <c r="A182" s="25" t="s">
        <v>151</v>
      </c>
      <c r="B182" s="16">
        <v>902</v>
      </c>
      <c r="C182" s="20" t="s">
        <v>166</v>
      </c>
      <c r="D182" s="20" t="s">
        <v>250</v>
      </c>
      <c r="E182" s="20" t="s">
        <v>252</v>
      </c>
      <c r="F182" s="20" t="s">
        <v>161</v>
      </c>
      <c r="G182" s="26">
        <f>G183</f>
        <v>450</v>
      </c>
      <c r="H182" s="177"/>
    </row>
    <row r="183" spans="1:9" ht="63" x14ac:dyDescent="0.25">
      <c r="A183" s="25" t="s">
        <v>200</v>
      </c>
      <c r="B183" s="16">
        <v>902</v>
      </c>
      <c r="C183" s="20" t="s">
        <v>166</v>
      </c>
      <c r="D183" s="20" t="s">
        <v>250</v>
      </c>
      <c r="E183" s="20" t="s">
        <v>252</v>
      </c>
      <c r="F183" s="20" t="s">
        <v>176</v>
      </c>
      <c r="G183" s="158">
        <f>310+140</f>
        <v>450</v>
      </c>
      <c r="H183" s="157" t="s">
        <v>741</v>
      </c>
      <c r="I183" s="115"/>
    </row>
    <row r="184" spans="1:9" ht="31.5" x14ac:dyDescent="0.25">
      <c r="A184" s="23" t="s">
        <v>253</v>
      </c>
      <c r="B184" s="19">
        <v>902</v>
      </c>
      <c r="C184" s="24" t="s">
        <v>166</v>
      </c>
      <c r="D184" s="24" t="s">
        <v>254</v>
      </c>
      <c r="E184" s="24"/>
      <c r="F184" s="24"/>
      <c r="G184" s="21">
        <f>G185</f>
        <v>1371.3999999999999</v>
      </c>
      <c r="H184" s="177"/>
    </row>
    <row r="185" spans="1:9" ht="15.75" x14ac:dyDescent="0.25">
      <c r="A185" s="25" t="s">
        <v>137</v>
      </c>
      <c r="B185" s="16">
        <v>902</v>
      </c>
      <c r="C185" s="20" t="s">
        <v>166</v>
      </c>
      <c r="D185" s="20" t="s">
        <v>254</v>
      </c>
      <c r="E185" s="20" t="s">
        <v>138</v>
      </c>
      <c r="F185" s="24"/>
      <c r="G185" s="26">
        <f>G186</f>
        <v>1371.3999999999999</v>
      </c>
      <c r="H185" s="177"/>
    </row>
    <row r="186" spans="1:9" ht="31.5" x14ac:dyDescent="0.25">
      <c r="A186" s="25" t="s">
        <v>201</v>
      </c>
      <c r="B186" s="16">
        <v>902</v>
      </c>
      <c r="C186" s="20" t="s">
        <v>166</v>
      </c>
      <c r="D186" s="20" t="s">
        <v>254</v>
      </c>
      <c r="E186" s="20" t="s">
        <v>202</v>
      </c>
      <c r="F186" s="24"/>
      <c r="G186" s="26">
        <f>G190+G187</f>
        <v>1371.3999999999999</v>
      </c>
      <c r="H186" s="177"/>
    </row>
    <row r="187" spans="1:9" ht="31.5" x14ac:dyDescent="0.25">
      <c r="A187" s="25" t="s">
        <v>255</v>
      </c>
      <c r="B187" s="16">
        <v>902</v>
      </c>
      <c r="C187" s="20" t="s">
        <v>166</v>
      </c>
      <c r="D187" s="20" t="s">
        <v>254</v>
      </c>
      <c r="E187" s="20" t="s">
        <v>256</v>
      </c>
      <c r="F187" s="24"/>
      <c r="G187" s="26">
        <f>G188</f>
        <v>90</v>
      </c>
      <c r="H187" s="177"/>
    </row>
    <row r="188" spans="1:9" ht="15.75" x14ac:dyDescent="0.25">
      <c r="A188" s="25" t="s">
        <v>151</v>
      </c>
      <c r="B188" s="16">
        <v>902</v>
      </c>
      <c r="C188" s="20" t="s">
        <v>166</v>
      </c>
      <c r="D188" s="20" t="s">
        <v>254</v>
      </c>
      <c r="E188" s="20" t="s">
        <v>256</v>
      </c>
      <c r="F188" s="20" t="s">
        <v>161</v>
      </c>
      <c r="G188" s="26">
        <f>G189</f>
        <v>90</v>
      </c>
      <c r="H188" s="177"/>
    </row>
    <row r="189" spans="1:9" ht="63" x14ac:dyDescent="0.25">
      <c r="A189" s="25" t="s">
        <v>200</v>
      </c>
      <c r="B189" s="16">
        <v>902</v>
      </c>
      <c r="C189" s="20" t="s">
        <v>166</v>
      </c>
      <c r="D189" s="20" t="s">
        <v>254</v>
      </c>
      <c r="E189" s="20" t="s">
        <v>256</v>
      </c>
      <c r="F189" s="20" t="s">
        <v>176</v>
      </c>
      <c r="G189" s="162">
        <v>90</v>
      </c>
      <c r="H189" s="157" t="s">
        <v>750</v>
      </c>
    </row>
    <row r="190" spans="1:9" ht="63" x14ac:dyDescent="0.25">
      <c r="A190" s="31" t="s">
        <v>257</v>
      </c>
      <c r="B190" s="16">
        <v>902</v>
      </c>
      <c r="C190" s="20" t="s">
        <v>166</v>
      </c>
      <c r="D190" s="20" t="s">
        <v>254</v>
      </c>
      <c r="E190" s="20" t="s">
        <v>258</v>
      </c>
      <c r="F190" s="20"/>
      <c r="G190" s="26">
        <f>G191+G193</f>
        <v>1281.3999999999999</v>
      </c>
      <c r="H190" s="177"/>
    </row>
    <row r="191" spans="1:9" ht="94.5" x14ac:dyDescent="0.25">
      <c r="A191" s="25" t="s">
        <v>143</v>
      </c>
      <c r="B191" s="16">
        <v>902</v>
      </c>
      <c r="C191" s="20" t="s">
        <v>166</v>
      </c>
      <c r="D191" s="20" t="s">
        <v>254</v>
      </c>
      <c r="E191" s="20" t="s">
        <v>258</v>
      </c>
      <c r="F191" s="20" t="s">
        <v>144</v>
      </c>
      <c r="G191" s="26">
        <f>G192</f>
        <v>1116.3999999999999</v>
      </c>
      <c r="H191" s="177"/>
    </row>
    <row r="192" spans="1:9" ht="31.5" x14ac:dyDescent="0.25">
      <c r="A192" s="25" t="s">
        <v>145</v>
      </c>
      <c r="B192" s="16">
        <v>902</v>
      </c>
      <c r="C192" s="20" t="s">
        <v>166</v>
      </c>
      <c r="D192" s="20" t="s">
        <v>254</v>
      </c>
      <c r="E192" s="20" t="s">
        <v>258</v>
      </c>
      <c r="F192" s="20" t="s">
        <v>146</v>
      </c>
      <c r="G192" s="26">
        <f>1302-123.4-62.2</f>
        <v>1116.3999999999999</v>
      </c>
      <c r="H192" s="177"/>
      <c r="I192" s="115"/>
    </row>
    <row r="193" spans="1:8" ht="31.5" x14ac:dyDescent="0.25">
      <c r="A193" s="25" t="s">
        <v>147</v>
      </c>
      <c r="B193" s="16">
        <v>902</v>
      </c>
      <c r="C193" s="20" t="s">
        <v>166</v>
      </c>
      <c r="D193" s="20" t="s">
        <v>254</v>
      </c>
      <c r="E193" s="20" t="s">
        <v>258</v>
      </c>
      <c r="F193" s="20" t="s">
        <v>148</v>
      </c>
      <c r="G193" s="26">
        <f>G194</f>
        <v>165</v>
      </c>
      <c r="H193" s="177"/>
    </row>
    <row r="194" spans="1:8" ht="47.25" x14ac:dyDescent="0.25">
      <c r="A194" s="25" t="s">
        <v>149</v>
      </c>
      <c r="B194" s="16">
        <v>902</v>
      </c>
      <c r="C194" s="20" t="s">
        <v>166</v>
      </c>
      <c r="D194" s="20" t="s">
        <v>254</v>
      </c>
      <c r="E194" s="20" t="s">
        <v>258</v>
      </c>
      <c r="F194" s="20" t="s">
        <v>150</v>
      </c>
      <c r="G194" s="26">
        <f>102.8+62.2</f>
        <v>165</v>
      </c>
      <c r="H194" s="177"/>
    </row>
    <row r="195" spans="1:8" ht="16.5" customHeight="1" x14ac:dyDescent="0.25">
      <c r="A195" s="23" t="s">
        <v>259</v>
      </c>
      <c r="B195" s="19">
        <v>902</v>
      </c>
      <c r="C195" s="24" t="s">
        <v>260</v>
      </c>
      <c r="D195" s="24"/>
      <c r="E195" s="24"/>
      <c r="F195" s="24"/>
      <c r="G195" s="21">
        <f>G196+G202+G212</f>
        <v>12224.9</v>
      </c>
      <c r="H195" s="177"/>
    </row>
    <row r="196" spans="1:8" ht="15.75" x14ac:dyDescent="0.25">
      <c r="A196" s="23" t="s">
        <v>261</v>
      </c>
      <c r="B196" s="19">
        <v>902</v>
      </c>
      <c r="C196" s="24" t="s">
        <v>260</v>
      </c>
      <c r="D196" s="24" t="s">
        <v>134</v>
      </c>
      <c r="E196" s="24"/>
      <c r="F196" s="24"/>
      <c r="G196" s="21">
        <f>G197</f>
        <v>9066.4</v>
      </c>
      <c r="H196" s="177"/>
    </row>
    <row r="197" spans="1:8" ht="15.75" x14ac:dyDescent="0.25">
      <c r="A197" s="25" t="s">
        <v>137</v>
      </c>
      <c r="B197" s="16">
        <v>902</v>
      </c>
      <c r="C197" s="20" t="s">
        <v>260</v>
      </c>
      <c r="D197" s="20" t="s">
        <v>134</v>
      </c>
      <c r="E197" s="20" t="s">
        <v>138</v>
      </c>
      <c r="F197" s="20"/>
      <c r="G197" s="26">
        <f>G198</f>
        <v>9066.4</v>
      </c>
      <c r="H197" s="177"/>
    </row>
    <row r="198" spans="1:8" ht="15.75" x14ac:dyDescent="0.25">
      <c r="A198" s="25" t="s">
        <v>157</v>
      </c>
      <c r="B198" s="16">
        <v>902</v>
      </c>
      <c r="C198" s="20" t="s">
        <v>260</v>
      </c>
      <c r="D198" s="20" t="s">
        <v>134</v>
      </c>
      <c r="E198" s="20" t="s">
        <v>158</v>
      </c>
      <c r="F198" s="20"/>
      <c r="G198" s="26">
        <f>G199</f>
        <v>9066.4</v>
      </c>
      <c r="H198" s="177"/>
    </row>
    <row r="199" spans="1:8" ht="15.75" x14ac:dyDescent="0.25">
      <c r="A199" s="25" t="s">
        <v>262</v>
      </c>
      <c r="B199" s="16">
        <v>902</v>
      </c>
      <c r="C199" s="20" t="s">
        <v>260</v>
      </c>
      <c r="D199" s="20" t="s">
        <v>134</v>
      </c>
      <c r="E199" s="20" t="s">
        <v>263</v>
      </c>
      <c r="F199" s="20"/>
      <c r="G199" s="26">
        <f>G200</f>
        <v>9066.4</v>
      </c>
      <c r="H199" s="177"/>
    </row>
    <row r="200" spans="1:8" ht="31.5" x14ac:dyDescent="0.25">
      <c r="A200" s="25" t="s">
        <v>264</v>
      </c>
      <c r="B200" s="16">
        <v>902</v>
      </c>
      <c r="C200" s="20" t="s">
        <v>260</v>
      </c>
      <c r="D200" s="20" t="s">
        <v>134</v>
      </c>
      <c r="E200" s="20" t="s">
        <v>263</v>
      </c>
      <c r="F200" s="20" t="s">
        <v>265</v>
      </c>
      <c r="G200" s="26">
        <f>G201</f>
        <v>9066.4</v>
      </c>
      <c r="H200" s="177"/>
    </row>
    <row r="201" spans="1:8" ht="31.5" x14ac:dyDescent="0.25">
      <c r="A201" s="25" t="s">
        <v>266</v>
      </c>
      <c r="B201" s="16">
        <v>902</v>
      </c>
      <c r="C201" s="20" t="s">
        <v>260</v>
      </c>
      <c r="D201" s="20" t="s">
        <v>134</v>
      </c>
      <c r="E201" s="20" t="s">
        <v>263</v>
      </c>
      <c r="F201" s="20" t="s">
        <v>267</v>
      </c>
      <c r="G201" s="27">
        <v>9066.4</v>
      </c>
      <c r="H201" s="177"/>
    </row>
    <row r="202" spans="1:8" ht="15.75" x14ac:dyDescent="0.25">
      <c r="A202" s="23" t="s">
        <v>268</v>
      </c>
      <c r="B202" s="19">
        <v>902</v>
      </c>
      <c r="C202" s="24" t="s">
        <v>260</v>
      </c>
      <c r="D202" s="24" t="s">
        <v>231</v>
      </c>
      <c r="E202" s="20"/>
      <c r="F202" s="20"/>
      <c r="G202" s="21">
        <f>G203+G207</f>
        <v>10</v>
      </c>
      <c r="H202" s="177"/>
    </row>
    <row r="203" spans="1:8" ht="78.75" x14ac:dyDescent="0.25">
      <c r="A203" s="25" t="s">
        <v>269</v>
      </c>
      <c r="B203" s="16">
        <v>902</v>
      </c>
      <c r="C203" s="20" t="s">
        <v>260</v>
      </c>
      <c r="D203" s="20" t="s">
        <v>231</v>
      </c>
      <c r="E203" s="20" t="s">
        <v>270</v>
      </c>
      <c r="F203" s="20"/>
      <c r="G203" s="26">
        <f>G204</f>
        <v>10</v>
      </c>
      <c r="H203" s="177"/>
    </row>
    <row r="204" spans="1:8" ht="31.5" x14ac:dyDescent="0.25">
      <c r="A204" s="25" t="s">
        <v>173</v>
      </c>
      <c r="B204" s="16">
        <v>902</v>
      </c>
      <c r="C204" s="20" t="s">
        <v>260</v>
      </c>
      <c r="D204" s="20" t="s">
        <v>231</v>
      </c>
      <c r="E204" s="20" t="s">
        <v>271</v>
      </c>
      <c r="F204" s="20"/>
      <c r="G204" s="26">
        <f>G205</f>
        <v>10</v>
      </c>
      <c r="H204" s="177"/>
    </row>
    <row r="205" spans="1:8" ht="31.5" x14ac:dyDescent="0.25">
      <c r="A205" s="25" t="s">
        <v>264</v>
      </c>
      <c r="B205" s="16">
        <v>902</v>
      </c>
      <c r="C205" s="20" t="s">
        <v>260</v>
      </c>
      <c r="D205" s="20" t="s">
        <v>231</v>
      </c>
      <c r="E205" s="20" t="s">
        <v>271</v>
      </c>
      <c r="F205" s="20" t="s">
        <v>265</v>
      </c>
      <c r="G205" s="26">
        <f>G206</f>
        <v>10</v>
      </c>
      <c r="H205" s="177"/>
    </row>
    <row r="206" spans="1:8" ht="31.5" x14ac:dyDescent="0.25">
      <c r="A206" s="25" t="s">
        <v>266</v>
      </c>
      <c r="B206" s="16">
        <v>902</v>
      </c>
      <c r="C206" s="20" t="s">
        <v>260</v>
      </c>
      <c r="D206" s="20" t="s">
        <v>231</v>
      </c>
      <c r="E206" s="20" t="s">
        <v>271</v>
      </c>
      <c r="F206" s="20" t="s">
        <v>267</v>
      </c>
      <c r="G206" s="26">
        <v>10</v>
      </c>
      <c r="H206" s="177"/>
    </row>
    <row r="207" spans="1:8" ht="15.75" hidden="1" x14ac:dyDescent="0.25">
      <c r="A207" s="25" t="s">
        <v>137</v>
      </c>
      <c r="B207" s="16">
        <v>902</v>
      </c>
      <c r="C207" s="20" t="s">
        <v>260</v>
      </c>
      <c r="D207" s="20" t="s">
        <v>231</v>
      </c>
      <c r="E207" s="20" t="s">
        <v>138</v>
      </c>
      <c r="F207" s="20"/>
      <c r="G207" s="26">
        <f>G208</f>
        <v>0</v>
      </c>
      <c r="H207" s="177"/>
    </row>
    <row r="208" spans="1:8" ht="31.5" hidden="1" x14ac:dyDescent="0.25">
      <c r="A208" s="25" t="s">
        <v>201</v>
      </c>
      <c r="B208" s="16">
        <v>902</v>
      </c>
      <c r="C208" s="20" t="s">
        <v>260</v>
      </c>
      <c r="D208" s="20" t="s">
        <v>231</v>
      </c>
      <c r="E208" s="20" t="s">
        <v>202</v>
      </c>
      <c r="F208" s="20"/>
      <c r="G208" s="26">
        <f>G209</f>
        <v>0</v>
      </c>
      <c r="H208" s="177"/>
    </row>
    <row r="209" spans="1:12" ht="47.25" hidden="1" x14ac:dyDescent="0.25">
      <c r="A209" s="31" t="s">
        <v>272</v>
      </c>
      <c r="B209" s="16">
        <v>902</v>
      </c>
      <c r="C209" s="20" t="s">
        <v>260</v>
      </c>
      <c r="D209" s="20" t="s">
        <v>231</v>
      </c>
      <c r="E209" s="20" t="s">
        <v>273</v>
      </c>
      <c r="F209" s="20"/>
      <c r="G209" s="26">
        <f>G210</f>
        <v>0</v>
      </c>
      <c r="H209" s="177"/>
    </row>
    <row r="210" spans="1:12" ht="31.5" hidden="1" x14ac:dyDescent="0.25">
      <c r="A210" s="25" t="s">
        <v>264</v>
      </c>
      <c r="B210" s="16">
        <v>902</v>
      </c>
      <c r="C210" s="20" t="s">
        <v>260</v>
      </c>
      <c r="D210" s="20" t="s">
        <v>231</v>
      </c>
      <c r="E210" s="20" t="s">
        <v>273</v>
      </c>
      <c r="F210" s="20" t="s">
        <v>265</v>
      </c>
      <c r="G210" s="26">
        <f>G211</f>
        <v>0</v>
      </c>
      <c r="H210" s="177"/>
    </row>
    <row r="211" spans="1:12" ht="31.5" hidden="1" x14ac:dyDescent="0.25">
      <c r="A211" s="25" t="s">
        <v>266</v>
      </c>
      <c r="B211" s="16">
        <v>902</v>
      </c>
      <c r="C211" s="20" t="s">
        <v>260</v>
      </c>
      <c r="D211" s="20" t="s">
        <v>231</v>
      </c>
      <c r="E211" s="20" t="s">
        <v>273</v>
      </c>
      <c r="F211" s="20" t="s">
        <v>267</v>
      </c>
      <c r="G211" s="26">
        <f>6250-6250</f>
        <v>0</v>
      </c>
      <c r="H211" s="106"/>
      <c r="I211" s="115"/>
    </row>
    <row r="212" spans="1:12" ht="31.5" x14ac:dyDescent="0.25">
      <c r="A212" s="23" t="s">
        <v>274</v>
      </c>
      <c r="B212" s="19">
        <v>902</v>
      </c>
      <c r="C212" s="24" t="s">
        <v>260</v>
      </c>
      <c r="D212" s="24" t="s">
        <v>136</v>
      </c>
      <c r="E212" s="24"/>
      <c r="F212" s="24"/>
      <c r="G212" s="21">
        <f>G213</f>
        <v>3148.5000000000005</v>
      </c>
      <c r="H212" s="177"/>
    </row>
    <row r="213" spans="1:12" ht="15.75" x14ac:dyDescent="0.25">
      <c r="A213" s="25" t="s">
        <v>137</v>
      </c>
      <c r="B213" s="16">
        <v>902</v>
      </c>
      <c r="C213" s="20" t="s">
        <v>260</v>
      </c>
      <c r="D213" s="20" t="s">
        <v>136</v>
      </c>
      <c r="E213" s="20" t="s">
        <v>138</v>
      </c>
      <c r="F213" s="24"/>
      <c r="G213" s="26">
        <f>G214</f>
        <v>3148.5000000000005</v>
      </c>
      <c r="H213" s="177"/>
    </row>
    <row r="214" spans="1:12" ht="31.5" x14ac:dyDescent="0.25">
      <c r="A214" s="25" t="s">
        <v>201</v>
      </c>
      <c r="B214" s="16">
        <v>902</v>
      </c>
      <c r="C214" s="20" t="s">
        <v>260</v>
      </c>
      <c r="D214" s="20" t="s">
        <v>136</v>
      </c>
      <c r="E214" s="20" t="s">
        <v>202</v>
      </c>
      <c r="F214" s="20"/>
      <c r="G214" s="26">
        <f>G215</f>
        <v>3148.5000000000005</v>
      </c>
      <c r="H214" s="177"/>
    </row>
    <row r="215" spans="1:12" ht="47.25" x14ac:dyDescent="0.25">
      <c r="A215" s="31" t="s">
        <v>275</v>
      </c>
      <c r="B215" s="16">
        <v>902</v>
      </c>
      <c r="C215" s="20" t="s">
        <v>260</v>
      </c>
      <c r="D215" s="20" t="s">
        <v>136</v>
      </c>
      <c r="E215" s="20" t="s">
        <v>276</v>
      </c>
      <c r="F215" s="20"/>
      <c r="G215" s="26">
        <f>G216+G218</f>
        <v>3148.5000000000005</v>
      </c>
      <c r="H215" s="177"/>
    </row>
    <row r="216" spans="1:12" ht="94.5" x14ac:dyDescent="0.25">
      <c r="A216" s="25" t="s">
        <v>143</v>
      </c>
      <c r="B216" s="16">
        <v>902</v>
      </c>
      <c r="C216" s="20" t="s">
        <v>260</v>
      </c>
      <c r="D216" s="20" t="s">
        <v>136</v>
      </c>
      <c r="E216" s="20" t="s">
        <v>276</v>
      </c>
      <c r="F216" s="20" t="s">
        <v>144</v>
      </c>
      <c r="G216" s="26">
        <f>G217</f>
        <v>2884.1000000000004</v>
      </c>
      <c r="H216" s="177"/>
    </row>
    <row r="217" spans="1:12" ht="31.5" x14ac:dyDescent="0.25">
      <c r="A217" s="25" t="s">
        <v>145</v>
      </c>
      <c r="B217" s="16">
        <v>902</v>
      </c>
      <c r="C217" s="20" t="s">
        <v>260</v>
      </c>
      <c r="D217" s="20" t="s">
        <v>136</v>
      </c>
      <c r="E217" s="20" t="s">
        <v>276</v>
      </c>
      <c r="F217" s="20" t="s">
        <v>146</v>
      </c>
      <c r="G217" s="27">
        <f>2826.8+14.8+42.5</f>
        <v>2884.1000000000004</v>
      </c>
      <c r="H217" s="106"/>
    </row>
    <row r="218" spans="1:12" ht="31.5" x14ac:dyDescent="0.25">
      <c r="A218" s="25" t="s">
        <v>147</v>
      </c>
      <c r="B218" s="16">
        <v>902</v>
      </c>
      <c r="C218" s="20" t="s">
        <v>260</v>
      </c>
      <c r="D218" s="20" t="s">
        <v>136</v>
      </c>
      <c r="E218" s="20" t="s">
        <v>276</v>
      </c>
      <c r="F218" s="20" t="s">
        <v>148</v>
      </c>
      <c r="G218" s="26">
        <f>G219</f>
        <v>264.39999999999998</v>
      </c>
      <c r="H218" s="177"/>
    </row>
    <row r="219" spans="1:12" ht="47.25" x14ac:dyDescent="0.25">
      <c r="A219" s="25" t="s">
        <v>149</v>
      </c>
      <c r="B219" s="16">
        <v>902</v>
      </c>
      <c r="C219" s="20" t="s">
        <v>260</v>
      </c>
      <c r="D219" s="20" t="s">
        <v>136</v>
      </c>
      <c r="E219" s="20" t="s">
        <v>276</v>
      </c>
      <c r="F219" s="20" t="s">
        <v>150</v>
      </c>
      <c r="G219" s="27">
        <f>433.9-112.2-14.8-42.5</f>
        <v>264.39999999999998</v>
      </c>
      <c r="H219" s="106"/>
      <c r="I219" s="115"/>
    </row>
    <row r="220" spans="1:12" ht="47.25" x14ac:dyDescent="0.25">
      <c r="A220" s="19" t="s">
        <v>277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7"/>
      <c r="L220" s="116"/>
    </row>
    <row r="221" spans="1:12" ht="15.75" hidden="1" x14ac:dyDescent="0.25">
      <c r="A221" s="23" t="s">
        <v>133</v>
      </c>
      <c r="B221" s="19">
        <v>903</v>
      </c>
      <c r="C221" s="24" t="s">
        <v>134</v>
      </c>
      <c r="D221" s="24"/>
      <c r="E221" s="24"/>
      <c r="F221" s="24"/>
      <c r="G221" s="21">
        <f t="shared" ref="G221:G226" si="0">G222</f>
        <v>0</v>
      </c>
      <c r="H221" s="177"/>
    </row>
    <row r="222" spans="1:12" ht="15.75" hidden="1" x14ac:dyDescent="0.25">
      <c r="A222" s="34" t="s">
        <v>155</v>
      </c>
      <c r="B222" s="19">
        <v>903</v>
      </c>
      <c r="C222" s="24" t="s">
        <v>134</v>
      </c>
      <c r="D222" s="24" t="s">
        <v>156</v>
      </c>
      <c r="E222" s="24"/>
      <c r="F222" s="24"/>
      <c r="G222" s="21">
        <f t="shared" si="0"/>
        <v>0</v>
      </c>
      <c r="H222" s="177"/>
    </row>
    <row r="223" spans="1:12" ht="15.75" hidden="1" x14ac:dyDescent="0.25">
      <c r="A223" s="31" t="s">
        <v>137</v>
      </c>
      <c r="B223" s="16">
        <v>903</v>
      </c>
      <c r="C223" s="20" t="s">
        <v>134</v>
      </c>
      <c r="D223" s="20" t="s">
        <v>156</v>
      </c>
      <c r="E223" s="20" t="s">
        <v>138</v>
      </c>
      <c r="F223" s="20"/>
      <c r="G223" s="26">
        <f t="shared" si="0"/>
        <v>0</v>
      </c>
      <c r="H223" s="177"/>
    </row>
    <row r="224" spans="1:12" ht="15.75" hidden="1" x14ac:dyDescent="0.25">
      <c r="A224" s="31" t="s">
        <v>157</v>
      </c>
      <c r="B224" s="16">
        <v>903</v>
      </c>
      <c r="C224" s="20" t="s">
        <v>134</v>
      </c>
      <c r="D224" s="20" t="s">
        <v>156</v>
      </c>
      <c r="E224" s="20" t="s">
        <v>158</v>
      </c>
      <c r="F224" s="20"/>
      <c r="G224" s="26">
        <f t="shared" si="0"/>
        <v>0</v>
      </c>
      <c r="H224" s="177"/>
    </row>
    <row r="225" spans="1:8" ht="15.75" hidden="1" x14ac:dyDescent="0.25">
      <c r="A225" s="25" t="s">
        <v>195</v>
      </c>
      <c r="B225" s="16">
        <v>903</v>
      </c>
      <c r="C225" s="20" t="s">
        <v>134</v>
      </c>
      <c r="D225" s="20" t="s">
        <v>156</v>
      </c>
      <c r="E225" s="20" t="s">
        <v>278</v>
      </c>
      <c r="F225" s="20"/>
      <c r="G225" s="26">
        <f t="shared" si="0"/>
        <v>0</v>
      </c>
      <c r="H225" s="177"/>
    </row>
    <row r="226" spans="1:8" ht="31.5" hidden="1" x14ac:dyDescent="0.25">
      <c r="A226" s="25" t="s">
        <v>147</v>
      </c>
      <c r="B226" s="16">
        <v>903</v>
      </c>
      <c r="C226" s="20" t="s">
        <v>134</v>
      </c>
      <c r="D226" s="20" t="s">
        <v>156</v>
      </c>
      <c r="E226" s="20" t="s">
        <v>278</v>
      </c>
      <c r="F226" s="20" t="s">
        <v>148</v>
      </c>
      <c r="G226" s="26">
        <f t="shared" si="0"/>
        <v>0</v>
      </c>
      <c r="H226" s="177"/>
    </row>
    <row r="227" spans="1:8" ht="47.25" hidden="1" x14ac:dyDescent="0.25">
      <c r="A227" s="25" t="s">
        <v>149</v>
      </c>
      <c r="B227" s="16">
        <v>903</v>
      </c>
      <c r="C227" s="20" t="s">
        <v>134</v>
      </c>
      <c r="D227" s="20" t="s">
        <v>156</v>
      </c>
      <c r="E227" s="20" t="s">
        <v>278</v>
      </c>
      <c r="F227" s="20" t="s">
        <v>150</v>
      </c>
      <c r="G227" s="26"/>
      <c r="H227" s="177"/>
    </row>
    <row r="228" spans="1:8" ht="15.75" x14ac:dyDescent="0.25">
      <c r="A228" s="23" t="s">
        <v>133</v>
      </c>
      <c r="B228" s="19">
        <v>903</v>
      </c>
      <c r="C228" s="24" t="s">
        <v>134</v>
      </c>
      <c r="D228" s="20"/>
      <c r="E228" s="20"/>
      <c r="F228" s="20"/>
      <c r="G228" s="26">
        <f t="shared" ref="G228:G233" si="1">G229</f>
        <v>88.7</v>
      </c>
      <c r="H228" s="177"/>
    </row>
    <row r="229" spans="1:8" ht="15.75" x14ac:dyDescent="0.25">
      <c r="A229" s="23" t="s">
        <v>155</v>
      </c>
      <c r="B229" s="19">
        <v>903</v>
      </c>
      <c r="C229" s="24" t="s">
        <v>134</v>
      </c>
      <c r="D229" s="24" t="s">
        <v>156</v>
      </c>
      <c r="E229" s="20"/>
      <c r="F229" s="20"/>
      <c r="G229" s="26">
        <f t="shared" si="1"/>
        <v>88.7</v>
      </c>
      <c r="H229" s="177"/>
    </row>
    <row r="230" spans="1:8" ht="15.75" x14ac:dyDescent="0.25">
      <c r="A230" s="25" t="s">
        <v>137</v>
      </c>
      <c r="B230" s="16">
        <v>903</v>
      </c>
      <c r="C230" s="20" t="s">
        <v>134</v>
      </c>
      <c r="D230" s="20" t="s">
        <v>156</v>
      </c>
      <c r="E230" s="20" t="s">
        <v>138</v>
      </c>
      <c r="F230" s="20"/>
      <c r="G230" s="26">
        <f t="shared" si="1"/>
        <v>88.7</v>
      </c>
      <c r="H230" s="177"/>
    </row>
    <row r="231" spans="1:8" ht="31.5" x14ac:dyDescent="0.25">
      <c r="A231" s="25" t="s">
        <v>201</v>
      </c>
      <c r="B231" s="16">
        <v>903</v>
      </c>
      <c r="C231" s="20" t="s">
        <v>134</v>
      </c>
      <c r="D231" s="20" t="s">
        <v>156</v>
      </c>
      <c r="E231" s="20" t="s">
        <v>202</v>
      </c>
      <c r="F231" s="20"/>
      <c r="G231" s="26">
        <f t="shared" si="1"/>
        <v>88.7</v>
      </c>
      <c r="H231" s="177"/>
    </row>
    <row r="232" spans="1:8" ht="47.25" x14ac:dyDescent="0.25">
      <c r="A232" s="35" t="s">
        <v>758</v>
      </c>
      <c r="B232" s="16">
        <v>903</v>
      </c>
      <c r="C232" s="20" t="s">
        <v>134</v>
      </c>
      <c r="D232" s="20" t="s">
        <v>156</v>
      </c>
      <c r="E232" s="20" t="s">
        <v>757</v>
      </c>
      <c r="F232" s="24"/>
      <c r="G232" s="26">
        <f t="shared" si="1"/>
        <v>88.7</v>
      </c>
      <c r="H232" s="177"/>
    </row>
    <row r="233" spans="1:8" ht="31.5" x14ac:dyDescent="0.25">
      <c r="A233" s="25" t="s">
        <v>147</v>
      </c>
      <c r="B233" s="16">
        <v>903</v>
      </c>
      <c r="C233" s="20" t="s">
        <v>134</v>
      </c>
      <c r="D233" s="20" t="s">
        <v>156</v>
      </c>
      <c r="E233" s="20" t="s">
        <v>757</v>
      </c>
      <c r="F233" s="20" t="s">
        <v>148</v>
      </c>
      <c r="G233" s="26">
        <f t="shared" si="1"/>
        <v>88.7</v>
      </c>
      <c r="H233" s="177"/>
    </row>
    <row r="234" spans="1:8" ht="53.45" customHeight="1" x14ac:dyDescent="0.25">
      <c r="A234" s="25" t="s">
        <v>149</v>
      </c>
      <c r="B234" s="16">
        <v>903</v>
      </c>
      <c r="C234" s="20" t="s">
        <v>134</v>
      </c>
      <c r="D234" s="20" t="s">
        <v>156</v>
      </c>
      <c r="E234" s="20" t="s">
        <v>757</v>
      </c>
      <c r="F234" s="20" t="s">
        <v>150</v>
      </c>
      <c r="G234" s="162">
        <v>88.7</v>
      </c>
      <c r="H234" s="157" t="s">
        <v>752</v>
      </c>
    </row>
    <row r="235" spans="1:8" ht="15.75" x14ac:dyDescent="0.25">
      <c r="A235" s="23" t="s">
        <v>279</v>
      </c>
      <c r="B235" s="19">
        <v>903</v>
      </c>
      <c r="C235" s="24" t="s">
        <v>280</v>
      </c>
      <c r="D235" s="20"/>
      <c r="E235" s="20"/>
      <c r="F235" s="20"/>
      <c r="G235" s="21">
        <f>G236+G271</f>
        <v>17482.699999999997</v>
      </c>
      <c r="H235" s="177"/>
    </row>
    <row r="236" spans="1:8" ht="15.75" x14ac:dyDescent="0.25">
      <c r="A236" s="23" t="s">
        <v>281</v>
      </c>
      <c r="B236" s="19">
        <v>903</v>
      </c>
      <c r="C236" s="24" t="s">
        <v>280</v>
      </c>
      <c r="D236" s="24" t="s">
        <v>231</v>
      </c>
      <c r="E236" s="24"/>
      <c r="F236" s="24"/>
      <c r="G236" s="21">
        <f>G237+G260</f>
        <v>17482.699999999997</v>
      </c>
      <c r="H236" s="177"/>
    </row>
    <row r="237" spans="1:8" ht="47.25" x14ac:dyDescent="0.25">
      <c r="A237" s="25" t="s">
        <v>282</v>
      </c>
      <c r="B237" s="16">
        <v>903</v>
      </c>
      <c r="C237" s="20" t="s">
        <v>280</v>
      </c>
      <c r="D237" s="20" t="s">
        <v>231</v>
      </c>
      <c r="E237" s="20" t="s">
        <v>283</v>
      </c>
      <c r="F237" s="20"/>
      <c r="G237" s="26">
        <f>G238</f>
        <v>16445.599999999999</v>
      </c>
      <c r="H237" s="177"/>
    </row>
    <row r="238" spans="1:8" ht="63" x14ac:dyDescent="0.25">
      <c r="A238" s="25" t="s">
        <v>284</v>
      </c>
      <c r="B238" s="16">
        <v>903</v>
      </c>
      <c r="C238" s="20" t="s">
        <v>280</v>
      </c>
      <c r="D238" s="20" t="s">
        <v>231</v>
      </c>
      <c r="E238" s="20" t="s">
        <v>285</v>
      </c>
      <c r="F238" s="20"/>
      <c r="G238" s="26">
        <f>G239+G251</f>
        <v>16445.599999999999</v>
      </c>
      <c r="H238" s="177"/>
    </row>
    <row r="239" spans="1:8" ht="47.25" x14ac:dyDescent="0.25">
      <c r="A239" s="25" t="s">
        <v>286</v>
      </c>
      <c r="B239" s="16">
        <v>903</v>
      </c>
      <c r="C239" s="20" t="s">
        <v>280</v>
      </c>
      <c r="D239" s="20" t="s">
        <v>231</v>
      </c>
      <c r="E239" s="20" t="s">
        <v>287</v>
      </c>
      <c r="F239" s="20"/>
      <c r="G239" s="26">
        <f>G240</f>
        <v>16395.599999999999</v>
      </c>
      <c r="H239" s="177"/>
    </row>
    <row r="240" spans="1:8" ht="47.25" x14ac:dyDescent="0.25">
      <c r="A240" s="25" t="s">
        <v>288</v>
      </c>
      <c r="B240" s="16">
        <v>903</v>
      </c>
      <c r="C240" s="20" t="s">
        <v>280</v>
      </c>
      <c r="D240" s="20" t="s">
        <v>231</v>
      </c>
      <c r="E240" s="20" t="s">
        <v>287</v>
      </c>
      <c r="F240" s="20" t="s">
        <v>289</v>
      </c>
      <c r="G240" s="26">
        <f>G241</f>
        <v>16395.599999999999</v>
      </c>
      <c r="H240" s="177"/>
    </row>
    <row r="241" spans="1:9" ht="15.75" x14ac:dyDescent="0.25">
      <c r="A241" s="25" t="s">
        <v>290</v>
      </c>
      <c r="B241" s="16">
        <v>903</v>
      </c>
      <c r="C241" s="20" t="s">
        <v>280</v>
      </c>
      <c r="D241" s="20" t="s">
        <v>231</v>
      </c>
      <c r="E241" s="20" t="s">
        <v>287</v>
      </c>
      <c r="F241" s="20" t="s">
        <v>291</v>
      </c>
      <c r="G241" s="27">
        <f>15572+756.3+67.3</f>
        <v>16395.599999999999</v>
      </c>
      <c r="H241" s="106"/>
      <c r="I241" s="125"/>
    </row>
    <row r="242" spans="1:9" ht="47.25" hidden="1" x14ac:dyDescent="0.25">
      <c r="A242" s="25" t="s">
        <v>292</v>
      </c>
      <c r="B242" s="16">
        <v>903</v>
      </c>
      <c r="C242" s="20" t="s">
        <v>280</v>
      </c>
      <c r="D242" s="20" t="s">
        <v>231</v>
      </c>
      <c r="E242" s="20" t="s">
        <v>293</v>
      </c>
      <c r="F242" s="20"/>
      <c r="G242" s="26">
        <f>G243</f>
        <v>0</v>
      </c>
      <c r="H242" s="177"/>
    </row>
    <row r="243" spans="1:9" ht="47.25" hidden="1" x14ac:dyDescent="0.25">
      <c r="A243" s="25" t="s">
        <v>288</v>
      </c>
      <c r="B243" s="16">
        <v>903</v>
      </c>
      <c r="C243" s="20" t="s">
        <v>280</v>
      </c>
      <c r="D243" s="20" t="s">
        <v>231</v>
      </c>
      <c r="E243" s="20" t="s">
        <v>293</v>
      </c>
      <c r="F243" s="20" t="s">
        <v>289</v>
      </c>
      <c r="G243" s="26">
        <f>G244</f>
        <v>0</v>
      </c>
      <c r="H243" s="177"/>
    </row>
    <row r="244" spans="1:9" ht="15.75" hidden="1" x14ac:dyDescent="0.25">
      <c r="A244" s="25" t="s">
        <v>290</v>
      </c>
      <c r="B244" s="16">
        <v>903</v>
      </c>
      <c r="C244" s="20" t="s">
        <v>280</v>
      </c>
      <c r="D244" s="20" t="s">
        <v>231</v>
      </c>
      <c r="E244" s="20" t="s">
        <v>293</v>
      </c>
      <c r="F244" s="20" t="s">
        <v>291</v>
      </c>
      <c r="G244" s="26">
        <v>0</v>
      </c>
      <c r="H244" s="177"/>
    </row>
    <row r="245" spans="1:9" ht="47.25" hidden="1" x14ac:dyDescent="0.25">
      <c r="A245" s="25" t="s">
        <v>294</v>
      </c>
      <c r="B245" s="16">
        <v>903</v>
      </c>
      <c r="C245" s="20" t="s">
        <v>280</v>
      </c>
      <c r="D245" s="20" t="s">
        <v>231</v>
      </c>
      <c r="E245" s="20" t="s">
        <v>295</v>
      </c>
      <c r="F245" s="20"/>
      <c r="G245" s="26">
        <f>G246</f>
        <v>0</v>
      </c>
      <c r="H245" s="177"/>
    </row>
    <row r="246" spans="1:9" ht="47.25" hidden="1" x14ac:dyDescent="0.25">
      <c r="A246" s="25" t="s">
        <v>288</v>
      </c>
      <c r="B246" s="16">
        <v>903</v>
      </c>
      <c r="C246" s="20" t="s">
        <v>280</v>
      </c>
      <c r="D246" s="20" t="s">
        <v>231</v>
      </c>
      <c r="E246" s="20" t="s">
        <v>295</v>
      </c>
      <c r="F246" s="20" t="s">
        <v>289</v>
      </c>
      <c r="G246" s="26">
        <f>G247</f>
        <v>0</v>
      </c>
      <c r="H246" s="177"/>
    </row>
    <row r="247" spans="1:9" ht="15.75" hidden="1" x14ac:dyDescent="0.25">
      <c r="A247" s="25" t="s">
        <v>290</v>
      </c>
      <c r="B247" s="16">
        <v>903</v>
      </c>
      <c r="C247" s="20" t="s">
        <v>280</v>
      </c>
      <c r="D247" s="20" t="s">
        <v>231</v>
      </c>
      <c r="E247" s="20" t="s">
        <v>295</v>
      </c>
      <c r="F247" s="20" t="s">
        <v>291</v>
      </c>
      <c r="G247" s="26">
        <v>0</v>
      </c>
      <c r="H247" s="177"/>
    </row>
    <row r="248" spans="1:9" ht="31.5" hidden="1" x14ac:dyDescent="0.25">
      <c r="A248" s="25" t="s">
        <v>296</v>
      </c>
      <c r="B248" s="16">
        <v>903</v>
      </c>
      <c r="C248" s="20" t="s">
        <v>280</v>
      </c>
      <c r="D248" s="20" t="s">
        <v>231</v>
      </c>
      <c r="E248" s="20" t="s">
        <v>297</v>
      </c>
      <c r="F248" s="20"/>
      <c r="G248" s="26">
        <f>G249</f>
        <v>0</v>
      </c>
      <c r="H248" s="177"/>
    </row>
    <row r="249" spans="1:9" ht="47.25" hidden="1" x14ac:dyDescent="0.25">
      <c r="A249" s="25" t="s">
        <v>288</v>
      </c>
      <c r="B249" s="16">
        <v>903</v>
      </c>
      <c r="C249" s="20" t="s">
        <v>280</v>
      </c>
      <c r="D249" s="20" t="s">
        <v>231</v>
      </c>
      <c r="E249" s="20" t="s">
        <v>297</v>
      </c>
      <c r="F249" s="20" t="s">
        <v>289</v>
      </c>
      <c r="G249" s="26">
        <f>G250</f>
        <v>0</v>
      </c>
      <c r="H249" s="177"/>
    </row>
    <row r="250" spans="1:9" ht="15.75" hidden="1" x14ac:dyDescent="0.25">
      <c r="A250" s="25" t="s">
        <v>290</v>
      </c>
      <c r="B250" s="16">
        <v>903</v>
      </c>
      <c r="C250" s="20" t="s">
        <v>280</v>
      </c>
      <c r="D250" s="20" t="s">
        <v>231</v>
      </c>
      <c r="E250" s="20" t="s">
        <v>297</v>
      </c>
      <c r="F250" s="20" t="s">
        <v>291</v>
      </c>
      <c r="G250" s="26">
        <v>0</v>
      </c>
      <c r="H250" s="177"/>
    </row>
    <row r="251" spans="1:9" ht="47.25" x14ac:dyDescent="0.25">
      <c r="A251" s="25" t="s">
        <v>298</v>
      </c>
      <c r="B251" s="16">
        <v>903</v>
      </c>
      <c r="C251" s="20" t="s">
        <v>280</v>
      </c>
      <c r="D251" s="20" t="s">
        <v>231</v>
      </c>
      <c r="E251" s="20" t="s">
        <v>299</v>
      </c>
      <c r="F251" s="20"/>
      <c r="G251" s="26">
        <f>G252</f>
        <v>50</v>
      </c>
      <c r="H251" s="177"/>
    </row>
    <row r="252" spans="1:9" ht="47.25" x14ac:dyDescent="0.25">
      <c r="A252" s="25" t="s">
        <v>288</v>
      </c>
      <c r="B252" s="16">
        <v>903</v>
      </c>
      <c r="C252" s="20" t="s">
        <v>280</v>
      </c>
      <c r="D252" s="20" t="s">
        <v>231</v>
      </c>
      <c r="E252" s="20" t="s">
        <v>299</v>
      </c>
      <c r="F252" s="20" t="s">
        <v>289</v>
      </c>
      <c r="G252" s="26">
        <f>G253</f>
        <v>50</v>
      </c>
      <c r="H252" s="177"/>
    </row>
    <row r="253" spans="1:9" ht="15.75" x14ac:dyDescent="0.25">
      <c r="A253" s="25" t="s">
        <v>290</v>
      </c>
      <c r="B253" s="16">
        <v>903</v>
      </c>
      <c r="C253" s="20" t="s">
        <v>280</v>
      </c>
      <c r="D253" s="20" t="s">
        <v>231</v>
      </c>
      <c r="E253" s="20" t="s">
        <v>299</v>
      </c>
      <c r="F253" s="20" t="s">
        <v>291</v>
      </c>
      <c r="G253" s="26">
        <v>50</v>
      </c>
      <c r="H253" s="177"/>
    </row>
    <row r="254" spans="1:9" ht="31.5" hidden="1" x14ac:dyDescent="0.25">
      <c r="A254" s="25" t="s">
        <v>300</v>
      </c>
      <c r="B254" s="16">
        <v>903</v>
      </c>
      <c r="C254" s="20" t="s">
        <v>280</v>
      </c>
      <c r="D254" s="20" t="s">
        <v>231</v>
      </c>
      <c r="E254" s="20" t="s">
        <v>301</v>
      </c>
      <c r="F254" s="20"/>
      <c r="G254" s="26">
        <f>G255</f>
        <v>0</v>
      </c>
      <c r="H254" s="177"/>
    </row>
    <row r="255" spans="1:9" ht="47.25" hidden="1" x14ac:dyDescent="0.25">
      <c r="A255" s="25" t="s">
        <v>288</v>
      </c>
      <c r="B255" s="16">
        <v>903</v>
      </c>
      <c r="C255" s="20" t="s">
        <v>280</v>
      </c>
      <c r="D255" s="20" t="s">
        <v>231</v>
      </c>
      <c r="E255" s="20" t="s">
        <v>302</v>
      </c>
      <c r="F255" s="20" t="s">
        <v>289</v>
      </c>
      <c r="G255" s="26">
        <f>G256</f>
        <v>0</v>
      </c>
      <c r="H255" s="177"/>
    </row>
    <row r="256" spans="1:9" ht="15.75" hidden="1" x14ac:dyDescent="0.25">
      <c r="A256" s="25" t="s">
        <v>290</v>
      </c>
      <c r="B256" s="16">
        <v>903</v>
      </c>
      <c r="C256" s="20" t="s">
        <v>280</v>
      </c>
      <c r="D256" s="20" t="s">
        <v>231</v>
      </c>
      <c r="E256" s="20" t="s">
        <v>302</v>
      </c>
      <c r="F256" s="20" t="s">
        <v>291</v>
      </c>
      <c r="G256" s="26">
        <v>0</v>
      </c>
      <c r="H256" s="177"/>
    </row>
    <row r="257" spans="1:9" ht="47.25" hidden="1" x14ac:dyDescent="0.25">
      <c r="A257" s="35" t="s">
        <v>303</v>
      </c>
      <c r="B257" s="16">
        <v>903</v>
      </c>
      <c r="C257" s="20" t="s">
        <v>280</v>
      </c>
      <c r="D257" s="20" t="s">
        <v>231</v>
      </c>
      <c r="E257" s="20" t="s">
        <v>304</v>
      </c>
      <c r="F257" s="20"/>
      <c r="G257" s="26">
        <f>G258</f>
        <v>0</v>
      </c>
      <c r="H257" s="177"/>
    </row>
    <row r="258" spans="1:9" ht="47.25" hidden="1" x14ac:dyDescent="0.25">
      <c r="A258" s="25" t="s">
        <v>288</v>
      </c>
      <c r="B258" s="16">
        <v>903</v>
      </c>
      <c r="C258" s="20" t="s">
        <v>280</v>
      </c>
      <c r="D258" s="20" t="s">
        <v>231</v>
      </c>
      <c r="E258" s="20" t="s">
        <v>304</v>
      </c>
      <c r="F258" s="20" t="s">
        <v>289</v>
      </c>
      <c r="G258" s="26">
        <f>G259</f>
        <v>0</v>
      </c>
      <c r="H258" s="177"/>
    </row>
    <row r="259" spans="1:9" ht="15.75" hidden="1" x14ac:dyDescent="0.25">
      <c r="A259" s="25" t="s">
        <v>290</v>
      </c>
      <c r="B259" s="16">
        <v>903</v>
      </c>
      <c r="C259" s="20" t="s">
        <v>280</v>
      </c>
      <c r="D259" s="20" t="s">
        <v>231</v>
      </c>
      <c r="E259" s="20" t="s">
        <v>304</v>
      </c>
      <c r="F259" s="20" t="s">
        <v>291</v>
      </c>
      <c r="G259" s="26">
        <v>0</v>
      </c>
      <c r="H259" s="177"/>
    </row>
    <row r="260" spans="1:9" ht="15.75" x14ac:dyDescent="0.25">
      <c r="A260" s="25" t="s">
        <v>137</v>
      </c>
      <c r="B260" s="16">
        <v>903</v>
      </c>
      <c r="C260" s="20" t="s">
        <v>280</v>
      </c>
      <c r="D260" s="20" t="s">
        <v>231</v>
      </c>
      <c r="E260" s="20" t="s">
        <v>138</v>
      </c>
      <c r="F260" s="20"/>
      <c r="G260" s="26">
        <f>G261</f>
        <v>1037.1000000000001</v>
      </c>
      <c r="H260" s="177"/>
    </row>
    <row r="261" spans="1:9" ht="31.5" x14ac:dyDescent="0.25">
      <c r="A261" s="25" t="s">
        <v>201</v>
      </c>
      <c r="B261" s="16">
        <v>903</v>
      </c>
      <c r="C261" s="20" t="s">
        <v>280</v>
      </c>
      <c r="D261" s="20" t="s">
        <v>231</v>
      </c>
      <c r="E261" s="20" t="s">
        <v>202</v>
      </c>
      <c r="F261" s="20"/>
      <c r="G261" s="26">
        <f>G262+G265+G268</f>
        <v>1037.1000000000001</v>
      </c>
      <c r="H261" s="177"/>
    </row>
    <row r="262" spans="1:9" ht="63" x14ac:dyDescent="0.25">
      <c r="A262" s="31" t="s">
        <v>305</v>
      </c>
      <c r="B262" s="16">
        <v>903</v>
      </c>
      <c r="C262" s="20" t="s">
        <v>280</v>
      </c>
      <c r="D262" s="20" t="s">
        <v>231</v>
      </c>
      <c r="E262" s="20" t="s">
        <v>306</v>
      </c>
      <c r="F262" s="20"/>
      <c r="G262" s="26">
        <f>G263</f>
        <v>126.69999999999999</v>
      </c>
      <c r="H262" s="177"/>
    </row>
    <row r="263" spans="1:9" ht="47.25" x14ac:dyDescent="0.25">
      <c r="A263" s="25" t="s">
        <v>288</v>
      </c>
      <c r="B263" s="16">
        <v>903</v>
      </c>
      <c r="C263" s="20" t="s">
        <v>280</v>
      </c>
      <c r="D263" s="20" t="s">
        <v>231</v>
      </c>
      <c r="E263" s="20" t="s">
        <v>306</v>
      </c>
      <c r="F263" s="20" t="s">
        <v>289</v>
      </c>
      <c r="G263" s="26">
        <f>G264</f>
        <v>126.69999999999999</v>
      </c>
      <c r="H263" s="177"/>
    </row>
    <row r="264" spans="1:9" ht="15.75" x14ac:dyDescent="0.25">
      <c r="A264" s="25" t="s">
        <v>290</v>
      </c>
      <c r="B264" s="16">
        <v>903</v>
      </c>
      <c r="C264" s="20" t="s">
        <v>280</v>
      </c>
      <c r="D264" s="20" t="s">
        <v>231</v>
      </c>
      <c r="E264" s="20" t="s">
        <v>306</v>
      </c>
      <c r="F264" s="20" t="s">
        <v>291</v>
      </c>
      <c r="G264" s="26">
        <f>162.6-35.9</f>
        <v>126.69999999999999</v>
      </c>
      <c r="H264" s="177"/>
      <c r="I264" s="115"/>
    </row>
    <row r="265" spans="1:9" ht="78.75" x14ac:dyDescent="0.25">
      <c r="A265" s="31" t="s">
        <v>307</v>
      </c>
      <c r="B265" s="16">
        <v>903</v>
      </c>
      <c r="C265" s="20" t="s">
        <v>280</v>
      </c>
      <c r="D265" s="20" t="s">
        <v>231</v>
      </c>
      <c r="E265" s="20" t="s">
        <v>308</v>
      </c>
      <c r="F265" s="20"/>
      <c r="G265" s="26">
        <f>G266</f>
        <v>310.70000000000005</v>
      </c>
      <c r="H265" s="177"/>
    </row>
    <row r="266" spans="1:9" ht="47.25" x14ac:dyDescent="0.25">
      <c r="A266" s="25" t="s">
        <v>288</v>
      </c>
      <c r="B266" s="16">
        <v>903</v>
      </c>
      <c r="C266" s="20" t="s">
        <v>280</v>
      </c>
      <c r="D266" s="20" t="s">
        <v>231</v>
      </c>
      <c r="E266" s="20" t="s">
        <v>308</v>
      </c>
      <c r="F266" s="20" t="s">
        <v>289</v>
      </c>
      <c r="G266" s="26">
        <f>G267</f>
        <v>310.70000000000005</v>
      </c>
      <c r="H266" s="177"/>
    </row>
    <row r="267" spans="1:9" ht="15.75" x14ac:dyDescent="0.25">
      <c r="A267" s="25" t="s">
        <v>290</v>
      </c>
      <c r="B267" s="16">
        <v>903</v>
      </c>
      <c r="C267" s="20" t="s">
        <v>280</v>
      </c>
      <c r="D267" s="20" t="s">
        <v>231</v>
      </c>
      <c r="E267" s="20" t="s">
        <v>308</v>
      </c>
      <c r="F267" s="20" t="s">
        <v>291</v>
      </c>
      <c r="G267" s="26">
        <f>393.3-82.6</f>
        <v>310.70000000000005</v>
      </c>
      <c r="H267" s="177"/>
      <c r="I267" s="115"/>
    </row>
    <row r="268" spans="1:9" ht="110.25" x14ac:dyDescent="0.25">
      <c r="A268" s="31" t="s">
        <v>309</v>
      </c>
      <c r="B268" s="16">
        <v>903</v>
      </c>
      <c r="C268" s="20" t="s">
        <v>280</v>
      </c>
      <c r="D268" s="20" t="s">
        <v>231</v>
      </c>
      <c r="E268" s="20" t="s">
        <v>310</v>
      </c>
      <c r="F268" s="20"/>
      <c r="G268" s="26">
        <f>G269</f>
        <v>599.70000000000005</v>
      </c>
      <c r="H268" s="177"/>
    </row>
    <row r="269" spans="1:9" ht="47.25" x14ac:dyDescent="0.25">
      <c r="A269" s="25" t="s">
        <v>288</v>
      </c>
      <c r="B269" s="16">
        <v>903</v>
      </c>
      <c r="C269" s="20" t="s">
        <v>280</v>
      </c>
      <c r="D269" s="20" t="s">
        <v>231</v>
      </c>
      <c r="E269" s="20" t="s">
        <v>310</v>
      </c>
      <c r="F269" s="20" t="s">
        <v>289</v>
      </c>
      <c r="G269" s="26">
        <f>G270</f>
        <v>599.70000000000005</v>
      </c>
      <c r="H269" s="177"/>
    </row>
    <row r="270" spans="1:9" ht="15.75" x14ac:dyDescent="0.25">
      <c r="A270" s="25" t="s">
        <v>290</v>
      </c>
      <c r="B270" s="16">
        <v>903</v>
      </c>
      <c r="C270" s="20" t="s">
        <v>280</v>
      </c>
      <c r="D270" s="20" t="s">
        <v>231</v>
      </c>
      <c r="E270" s="20" t="s">
        <v>310</v>
      </c>
      <c r="F270" s="20" t="s">
        <v>291</v>
      </c>
      <c r="G270" s="26">
        <f>600-0.3</f>
        <v>599.70000000000005</v>
      </c>
      <c r="H270" s="177"/>
      <c r="I270" s="115"/>
    </row>
    <row r="271" spans="1:9" ht="15.75" hidden="1" x14ac:dyDescent="0.25">
      <c r="A271" s="23" t="s">
        <v>311</v>
      </c>
      <c r="B271" s="19">
        <v>903</v>
      </c>
      <c r="C271" s="24" t="s">
        <v>280</v>
      </c>
      <c r="D271" s="24" t="s">
        <v>235</v>
      </c>
      <c r="E271" s="24"/>
      <c r="F271" s="24"/>
      <c r="G271" s="26">
        <f>G272</f>
        <v>0</v>
      </c>
      <c r="H271" s="177"/>
    </row>
    <row r="272" spans="1:9" ht="15.75" hidden="1" x14ac:dyDescent="0.25">
      <c r="A272" s="25" t="s">
        <v>137</v>
      </c>
      <c r="B272" s="16">
        <v>903</v>
      </c>
      <c r="C272" s="20" t="s">
        <v>280</v>
      </c>
      <c r="D272" s="20" t="s">
        <v>235</v>
      </c>
      <c r="E272" s="20" t="s">
        <v>138</v>
      </c>
      <c r="F272" s="20"/>
      <c r="G272" s="26">
        <f>G273</f>
        <v>0</v>
      </c>
      <c r="H272" s="177"/>
    </row>
    <row r="273" spans="1:12" ht="31.5" hidden="1" x14ac:dyDescent="0.25">
      <c r="A273" s="25" t="s">
        <v>201</v>
      </c>
      <c r="B273" s="16">
        <v>903</v>
      </c>
      <c r="C273" s="20" t="s">
        <v>280</v>
      </c>
      <c r="D273" s="20" t="s">
        <v>235</v>
      </c>
      <c r="E273" s="20" t="s">
        <v>202</v>
      </c>
      <c r="F273" s="20"/>
      <c r="G273" s="26">
        <f>G274</f>
        <v>0</v>
      </c>
      <c r="H273" s="177"/>
    </row>
    <row r="274" spans="1:12" ht="31.5" hidden="1" x14ac:dyDescent="0.25">
      <c r="A274" s="36" t="s">
        <v>312</v>
      </c>
      <c r="B274" s="37">
        <v>903</v>
      </c>
      <c r="C274" s="20" t="s">
        <v>280</v>
      </c>
      <c r="D274" s="20" t="s">
        <v>235</v>
      </c>
      <c r="E274" s="20" t="s">
        <v>313</v>
      </c>
      <c r="F274" s="20"/>
      <c r="G274" s="26">
        <f>G275</f>
        <v>0</v>
      </c>
      <c r="H274" s="177"/>
    </row>
    <row r="275" spans="1:12" ht="15.75" hidden="1" x14ac:dyDescent="0.25">
      <c r="A275" s="25" t="s">
        <v>151</v>
      </c>
      <c r="B275" s="16">
        <v>903</v>
      </c>
      <c r="C275" s="20" t="s">
        <v>280</v>
      </c>
      <c r="D275" s="20" t="s">
        <v>235</v>
      </c>
      <c r="E275" s="20" t="s">
        <v>313</v>
      </c>
      <c r="F275" s="20" t="s">
        <v>161</v>
      </c>
      <c r="G275" s="26">
        <f>G276</f>
        <v>0</v>
      </c>
      <c r="H275" s="177"/>
    </row>
    <row r="276" spans="1:12" ht="63" hidden="1" x14ac:dyDescent="0.25">
      <c r="A276" s="25" t="s">
        <v>200</v>
      </c>
      <c r="B276" s="16">
        <v>903</v>
      </c>
      <c r="C276" s="20" t="s">
        <v>280</v>
      </c>
      <c r="D276" s="20" t="s">
        <v>235</v>
      </c>
      <c r="E276" s="20" t="s">
        <v>313</v>
      </c>
      <c r="F276" s="20" t="s">
        <v>176</v>
      </c>
      <c r="G276" s="26"/>
      <c r="H276" s="177"/>
    </row>
    <row r="277" spans="1:12" ht="15.75" x14ac:dyDescent="0.25">
      <c r="A277" s="23" t="s">
        <v>314</v>
      </c>
      <c r="B277" s="19">
        <v>903</v>
      </c>
      <c r="C277" s="24" t="s">
        <v>315</v>
      </c>
      <c r="D277" s="24"/>
      <c r="E277" s="24"/>
      <c r="F277" s="24"/>
      <c r="G277" s="21">
        <f>G278+G358</f>
        <v>61699.8</v>
      </c>
      <c r="H277" s="177"/>
    </row>
    <row r="278" spans="1:12" ht="15.75" x14ac:dyDescent="0.25">
      <c r="A278" s="23" t="s">
        <v>316</v>
      </c>
      <c r="B278" s="19">
        <v>903</v>
      </c>
      <c r="C278" s="24" t="s">
        <v>315</v>
      </c>
      <c r="D278" s="24" t="s">
        <v>134</v>
      </c>
      <c r="E278" s="24"/>
      <c r="F278" s="24"/>
      <c r="G278" s="21">
        <f>G279+G337+G333</f>
        <v>44421.000000000007</v>
      </c>
      <c r="H278" s="177"/>
    </row>
    <row r="279" spans="1:12" ht="47.25" x14ac:dyDescent="0.25">
      <c r="A279" s="25" t="s">
        <v>282</v>
      </c>
      <c r="B279" s="16">
        <v>903</v>
      </c>
      <c r="C279" s="20" t="s">
        <v>315</v>
      </c>
      <c r="D279" s="20" t="s">
        <v>134</v>
      </c>
      <c r="E279" s="20" t="s">
        <v>283</v>
      </c>
      <c r="F279" s="20"/>
      <c r="G279" s="26">
        <f>G280+G306</f>
        <v>42083.100000000006</v>
      </c>
      <c r="H279" s="177"/>
    </row>
    <row r="280" spans="1:12" ht="63" x14ac:dyDescent="0.25">
      <c r="A280" s="25" t="s">
        <v>317</v>
      </c>
      <c r="B280" s="16">
        <v>903</v>
      </c>
      <c r="C280" s="20" t="s">
        <v>315</v>
      </c>
      <c r="D280" s="20" t="s">
        <v>134</v>
      </c>
      <c r="E280" s="20" t="s">
        <v>318</v>
      </c>
      <c r="F280" s="20"/>
      <c r="G280" s="26">
        <f>G281+G299+G284+G287+G290+G293+G296</f>
        <v>25422.5</v>
      </c>
      <c r="H280" s="177"/>
    </row>
    <row r="281" spans="1:12" ht="52.5" customHeight="1" x14ac:dyDescent="0.25">
      <c r="A281" s="25" t="s">
        <v>319</v>
      </c>
      <c r="B281" s="16">
        <v>903</v>
      </c>
      <c r="C281" s="20" t="s">
        <v>315</v>
      </c>
      <c r="D281" s="20" t="s">
        <v>134</v>
      </c>
      <c r="E281" s="20" t="s">
        <v>320</v>
      </c>
      <c r="F281" s="20"/>
      <c r="G281" s="26">
        <f>G282</f>
        <v>23654.800000000003</v>
      </c>
      <c r="H281" s="177"/>
    </row>
    <row r="282" spans="1:12" ht="47.25" x14ac:dyDescent="0.25">
      <c r="A282" s="25" t="s">
        <v>288</v>
      </c>
      <c r="B282" s="16">
        <v>903</v>
      </c>
      <c r="C282" s="20" t="s">
        <v>315</v>
      </c>
      <c r="D282" s="20" t="s">
        <v>134</v>
      </c>
      <c r="E282" s="20" t="s">
        <v>320</v>
      </c>
      <c r="F282" s="20" t="s">
        <v>289</v>
      </c>
      <c r="G282" s="26">
        <f>G283</f>
        <v>23654.800000000003</v>
      </c>
      <c r="H282" s="177"/>
    </row>
    <row r="283" spans="1:12" ht="15.75" x14ac:dyDescent="0.25">
      <c r="A283" s="25" t="s">
        <v>290</v>
      </c>
      <c r="B283" s="16">
        <v>903</v>
      </c>
      <c r="C283" s="20" t="s">
        <v>315</v>
      </c>
      <c r="D283" s="20" t="s">
        <v>134</v>
      </c>
      <c r="E283" s="20" t="s">
        <v>320</v>
      </c>
      <c r="F283" s="20" t="s">
        <v>291</v>
      </c>
      <c r="G283" s="27">
        <f>25081.9+2671.4-3136.8-961.7</f>
        <v>23654.800000000003</v>
      </c>
      <c r="H283" s="106"/>
      <c r="I283" s="125"/>
    </row>
    <row r="284" spans="1:12" ht="47.25" x14ac:dyDescent="0.25">
      <c r="A284" s="25" t="s">
        <v>724</v>
      </c>
      <c r="B284" s="16">
        <v>903</v>
      </c>
      <c r="C284" s="20" t="s">
        <v>315</v>
      </c>
      <c r="D284" s="20" t="s">
        <v>134</v>
      </c>
      <c r="E284" s="20" t="s">
        <v>321</v>
      </c>
      <c r="F284" s="20"/>
      <c r="G284" s="26">
        <f>G285</f>
        <v>96.1</v>
      </c>
      <c r="H284" s="177"/>
      <c r="L284" s="117"/>
    </row>
    <row r="285" spans="1:12" ht="47.25" x14ac:dyDescent="0.25">
      <c r="A285" s="25" t="s">
        <v>288</v>
      </c>
      <c r="B285" s="16">
        <v>903</v>
      </c>
      <c r="C285" s="20" t="s">
        <v>315</v>
      </c>
      <c r="D285" s="20" t="s">
        <v>134</v>
      </c>
      <c r="E285" s="20" t="s">
        <v>321</v>
      </c>
      <c r="F285" s="20" t="s">
        <v>289</v>
      </c>
      <c r="G285" s="26">
        <f>G286</f>
        <v>96.1</v>
      </c>
      <c r="H285" s="177"/>
    </row>
    <row r="286" spans="1:12" ht="15.75" x14ac:dyDescent="0.25">
      <c r="A286" s="25" t="s">
        <v>290</v>
      </c>
      <c r="B286" s="16">
        <v>903</v>
      </c>
      <c r="C286" s="20" t="s">
        <v>315</v>
      </c>
      <c r="D286" s="20" t="s">
        <v>134</v>
      </c>
      <c r="E286" s="20" t="s">
        <v>321</v>
      </c>
      <c r="F286" s="20" t="s">
        <v>291</v>
      </c>
      <c r="G286" s="26">
        <v>96.1</v>
      </c>
      <c r="H286" s="106"/>
    </row>
    <row r="287" spans="1:12" ht="47.25" x14ac:dyDescent="0.25">
      <c r="A287" s="25" t="s">
        <v>294</v>
      </c>
      <c r="B287" s="16">
        <v>903</v>
      </c>
      <c r="C287" s="20" t="s">
        <v>315</v>
      </c>
      <c r="D287" s="20" t="s">
        <v>134</v>
      </c>
      <c r="E287" s="20" t="s">
        <v>322</v>
      </c>
      <c r="F287" s="20"/>
      <c r="G287" s="26">
        <f>G288</f>
        <v>142.1</v>
      </c>
      <c r="H287" s="177"/>
    </row>
    <row r="288" spans="1:12" ht="47.25" x14ac:dyDescent="0.25">
      <c r="A288" s="25" t="s">
        <v>288</v>
      </c>
      <c r="B288" s="16">
        <v>903</v>
      </c>
      <c r="C288" s="20" t="s">
        <v>315</v>
      </c>
      <c r="D288" s="20" t="s">
        <v>134</v>
      </c>
      <c r="E288" s="20" t="s">
        <v>322</v>
      </c>
      <c r="F288" s="20" t="s">
        <v>289</v>
      </c>
      <c r="G288" s="26">
        <f>G289</f>
        <v>142.1</v>
      </c>
      <c r="H288" s="177"/>
    </row>
    <row r="289" spans="1:10" ht="15.75" x14ac:dyDescent="0.25">
      <c r="A289" s="25" t="s">
        <v>290</v>
      </c>
      <c r="B289" s="16">
        <v>903</v>
      </c>
      <c r="C289" s="20" t="s">
        <v>315</v>
      </c>
      <c r="D289" s="20" t="s">
        <v>134</v>
      </c>
      <c r="E289" s="20" t="s">
        <v>322</v>
      </c>
      <c r="F289" s="20" t="s">
        <v>291</v>
      </c>
      <c r="G289" s="26">
        <v>142.1</v>
      </c>
      <c r="H289" s="177"/>
      <c r="I289" s="115"/>
    </row>
    <row r="290" spans="1:10" ht="15.75" x14ac:dyDescent="0.25">
      <c r="A290" s="25" t="s">
        <v>323</v>
      </c>
      <c r="B290" s="16">
        <v>903</v>
      </c>
      <c r="C290" s="20" t="s">
        <v>315</v>
      </c>
      <c r="D290" s="20" t="s">
        <v>134</v>
      </c>
      <c r="E290" s="20" t="s">
        <v>324</v>
      </c>
      <c r="F290" s="20"/>
      <c r="G290" s="26">
        <f>G291</f>
        <v>1529.5</v>
      </c>
      <c r="H290" s="177"/>
    </row>
    <row r="291" spans="1:10" ht="47.25" x14ac:dyDescent="0.25">
      <c r="A291" s="25" t="s">
        <v>288</v>
      </c>
      <c r="B291" s="16">
        <v>903</v>
      </c>
      <c r="C291" s="20" t="s">
        <v>315</v>
      </c>
      <c r="D291" s="20" t="s">
        <v>134</v>
      </c>
      <c r="E291" s="20" t="s">
        <v>324</v>
      </c>
      <c r="F291" s="20" t="s">
        <v>289</v>
      </c>
      <c r="G291" s="26">
        <f>G292</f>
        <v>1529.5</v>
      </c>
      <c r="H291" s="177"/>
    </row>
    <row r="292" spans="1:10" ht="15.75" x14ac:dyDescent="0.25">
      <c r="A292" s="25" t="s">
        <v>290</v>
      </c>
      <c r="B292" s="16">
        <v>903</v>
      </c>
      <c r="C292" s="20" t="s">
        <v>315</v>
      </c>
      <c r="D292" s="20" t="s">
        <v>134</v>
      </c>
      <c r="E292" s="20" t="s">
        <v>324</v>
      </c>
      <c r="F292" s="20" t="s">
        <v>291</v>
      </c>
      <c r="G292" s="26">
        <f>411.9+1117.6</f>
        <v>1529.5</v>
      </c>
      <c r="H292" s="106"/>
      <c r="I292" s="125"/>
      <c r="J292" s="109"/>
    </row>
    <row r="293" spans="1:10" ht="31.5" hidden="1" x14ac:dyDescent="0.25">
      <c r="A293" s="25" t="s">
        <v>300</v>
      </c>
      <c r="B293" s="16">
        <v>903</v>
      </c>
      <c r="C293" s="20" t="s">
        <v>315</v>
      </c>
      <c r="D293" s="20" t="s">
        <v>134</v>
      </c>
      <c r="E293" s="20" t="s">
        <v>301</v>
      </c>
      <c r="F293" s="20"/>
      <c r="G293" s="26">
        <f>G294</f>
        <v>0</v>
      </c>
      <c r="H293" s="177"/>
    </row>
    <row r="294" spans="1:10" ht="47.25" hidden="1" x14ac:dyDescent="0.25">
      <c r="A294" s="25" t="s">
        <v>288</v>
      </c>
      <c r="B294" s="16">
        <v>903</v>
      </c>
      <c r="C294" s="20" t="s">
        <v>315</v>
      </c>
      <c r="D294" s="20" t="s">
        <v>134</v>
      </c>
      <c r="E294" s="20" t="s">
        <v>301</v>
      </c>
      <c r="F294" s="20" t="s">
        <v>289</v>
      </c>
      <c r="G294" s="26">
        <f>G295</f>
        <v>0</v>
      </c>
      <c r="H294" s="177"/>
    </row>
    <row r="295" spans="1:10" ht="15.75" hidden="1" x14ac:dyDescent="0.25">
      <c r="A295" s="25" t="s">
        <v>290</v>
      </c>
      <c r="B295" s="16">
        <v>903</v>
      </c>
      <c r="C295" s="20" t="s">
        <v>315</v>
      </c>
      <c r="D295" s="20" t="s">
        <v>134</v>
      </c>
      <c r="E295" s="20" t="s">
        <v>301</v>
      </c>
      <c r="F295" s="20" t="s">
        <v>291</v>
      </c>
      <c r="G295" s="26">
        <v>0</v>
      </c>
      <c r="H295" s="177"/>
    </row>
    <row r="296" spans="1:10" ht="47.25" hidden="1" x14ac:dyDescent="0.25">
      <c r="A296" s="35" t="s">
        <v>303</v>
      </c>
      <c r="B296" s="16">
        <v>903</v>
      </c>
      <c r="C296" s="20" t="s">
        <v>315</v>
      </c>
      <c r="D296" s="20" t="s">
        <v>134</v>
      </c>
      <c r="E296" s="20" t="s">
        <v>325</v>
      </c>
      <c r="F296" s="20"/>
      <c r="G296" s="26">
        <f>G297</f>
        <v>0</v>
      </c>
      <c r="H296" s="177"/>
    </row>
    <row r="297" spans="1:10" ht="47.25" hidden="1" x14ac:dyDescent="0.25">
      <c r="A297" s="25" t="s">
        <v>288</v>
      </c>
      <c r="B297" s="16">
        <v>903</v>
      </c>
      <c r="C297" s="20" t="s">
        <v>315</v>
      </c>
      <c r="D297" s="20" t="s">
        <v>134</v>
      </c>
      <c r="E297" s="20" t="s">
        <v>325</v>
      </c>
      <c r="F297" s="20" t="s">
        <v>289</v>
      </c>
      <c r="G297" s="26">
        <f>G298</f>
        <v>0</v>
      </c>
      <c r="H297" s="177"/>
    </row>
    <row r="298" spans="1:10" ht="15.75" hidden="1" x14ac:dyDescent="0.25">
      <c r="A298" s="25" t="s">
        <v>290</v>
      </c>
      <c r="B298" s="16">
        <v>903</v>
      </c>
      <c r="C298" s="20" t="s">
        <v>315</v>
      </c>
      <c r="D298" s="20" t="s">
        <v>134</v>
      </c>
      <c r="E298" s="20" t="s">
        <v>325</v>
      </c>
      <c r="F298" s="20" t="s">
        <v>291</v>
      </c>
      <c r="G298" s="26">
        <v>0</v>
      </c>
      <c r="H298" s="177"/>
    </row>
    <row r="299" spans="1:10" ht="47.25" hidden="1" customHeight="1" x14ac:dyDescent="0.25">
      <c r="A299" s="25" t="s">
        <v>326</v>
      </c>
      <c r="B299" s="16">
        <v>903</v>
      </c>
      <c r="C299" s="20" t="s">
        <v>315</v>
      </c>
      <c r="D299" s="20" t="s">
        <v>134</v>
      </c>
      <c r="E299" s="20" t="s">
        <v>327</v>
      </c>
      <c r="F299" s="20"/>
      <c r="G299" s="26">
        <f>G300+G302+G304</f>
        <v>0</v>
      </c>
      <c r="H299" s="177"/>
    </row>
    <row r="300" spans="1:10" ht="94.5" hidden="1" x14ac:dyDescent="0.25">
      <c r="A300" s="25" t="s">
        <v>143</v>
      </c>
      <c r="B300" s="16">
        <v>903</v>
      </c>
      <c r="C300" s="20" t="s">
        <v>315</v>
      </c>
      <c r="D300" s="20" t="s">
        <v>134</v>
      </c>
      <c r="E300" s="20" t="s">
        <v>327</v>
      </c>
      <c r="F300" s="20" t="s">
        <v>144</v>
      </c>
      <c r="G300" s="26">
        <f>G301</f>
        <v>0</v>
      </c>
      <c r="H300" s="177"/>
    </row>
    <row r="301" spans="1:10" ht="31.5" hidden="1" x14ac:dyDescent="0.25">
      <c r="A301" s="25" t="s">
        <v>224</v>
      </c>
      <c r="B301" s="16">
        <v>903</v>
      </c>
      <c r="C301" s="20" t="s">
        <v>315</v>
      </c>
      <c r="D301" s="20" t="s">
        <v>134</v>
      </c>
      <c r="E301" s="20" t="s">
        <v>327</v>
      </c>
      <c r="F301" s="20" t="s">
        <v>225</v>
      </c>
      <c r="G301" s="27">
        <v>0</v>
      </c>
      <c r="H301" s="177"/>
    </row>
    <row r="302" spans="1:10" ht="31.5" hidden="1" x14ac:dyDescent="0.25">
      <c r="A302" s="25" t="s">
        <v>147</v>
      </c>
      <c r="B302" s="16">
        <v>903</v>
      </c>
      <c r="C302" s="20" t="s">
        <v>315</v>
      </c>
      <c r="D302" s="20" t="s">
        <v>134</v>
      </c>
      <c r="E302" s="20" t="s">
        <v>327</v>
      </c>
      <c r="F302" s="20" t="s">
        <v>148</v>
      </c>
      <c r="G302" s="26">
        <f>G303</f>
        <v>0</v>
      </c>
      <c r="H302" s="177"/>
    </row>
    <row r="303" spans="1:10" ht="47.25" hidden="1" x14ac:dyDescent="0.25">
      <c r="A303" s="25" t="s">
        <v>149</v>
      </c>
      <c r="B303" s="16">
        <v>903</v>
      </c>
      <c r="C303" s="20" t="s">
        <v>315</v>
      </c>
      <c r="D303" s="20" t="s">
        <v>134</v>
      </c>
      <c r="E303" s="20" t="s">
        <v>327</v>
      </c>
      <c r="F303" s="20" t="s">
        <v>150</v>
      </c>
      <c r="G303" s="27">
        <v>0</v>
      </c>
      <c r="H303" s="177"/>
    </row>
    <row r="304" spans="1:10" ht="15.75" hidden="1" x14ac:dyDescent="0.25">
      <c r="A304" s="25" t="s">
        <v>151</v>
      </c>
      <c r="B304" s="16">
        <v>903</v>
      </c>
      <c r="C304" s="20" t="s">
        <v>315</v>
      </c>
      <c r="D304" s="20" t="s">
        <v>134</v>
      </c>
      <c r="E304" s="20" t="s">
        <v>327</v>
      </c>
      <c r="F304" s="20" t="s">
        <v>161</v>
      </c>
      <c r="G304" s="26">
        <f>G305</f>
        <v>0</v>
      </c>
      <c r="H304" s="177"/>
    </row>
    <row r="305" spans="1:9" ht="15.75" hidden="1" x14ac:dyDescent="0.25">
      <c r="A305" s="25" t="s">
        <v>153</v>
      </c>
      <c r="B305" s="16">
        <v>903</v>
      </c>
      <c r="C305" s="20" t="s">
        <v>315</v>
      </c>
      <c r="D305" s="20" t="s">
        <v>134</v>
      </c>
      <c r="E305" s="20" t="s">
        <v>327</v>
      </c>
      <c r="F305" s="20" t="s">
        <v>154</v>
      </c>
      <c r="G305" s="26">
        <v>0</v>
      </c>
      <c r="H305" s="177"/>
    </row>
    <row r="306" spans="1:9" ht="47.25" x14ac:dyDescent="0.25">
      <c r="A306" s="25" t="s">
        <v>328</v>
      </c>
      <c r="B306" s="16">
        <v>903</v>
      </c>
      <c r="C306" s="20" t="s">
        <v>315</v>
      </c>
      <c r="D306" s="20" t="s">
        <v>134</v>
      </c>
      <c r="E306" s="20" t="s">
        <v>329</v>
      </c>
      <c r="F306" s="20"/>
      <c r="G306" s="26">
        <f>G307+G330+G318+G321+G324+G327+G310+G315</f>
        <v>16660.600000000002</v>
      </c>
      <c r="H306" s="177"/>
    </row>
    <row r="307" spans="1:9" ht="51" customHeight="1" x14ac:dyDescent="0.25">
      <c r="A307" s="25" t="s">
        <v>319</v>
      </c>
      <c r="B307" s="16">
        <v>903</v>
      </c>
      <c r="C307" s="20" t="s">
        <v>315</v>
      </c>
      <c r="D307" s="20" t="s">
        <v>134</v>
      </c>
      <c r="E307" s="20" t="s">
        <v>330</v>
      </c>
      <c r="F307" s="20"/>
      <c r="G307" s="26">
        <f>G308</f>
        <v>16655.2</v>
      </c>
      <c r="H307" s="177"/>
    </row>
    <row r="308" spans="1:9" ht="47.25" x14ac:dyDescent="0.25">
      <c r="A308" s="25" t="s">
        <v>288</v>
      </c>
      <c r="B308" s="16">
        <v>903</v>
      </c>
      <c r="C308" s="20" t="s">
        <v>315</v>
      </c>
      <c r="D308" s="20" t="s">
        <v>134</v>
      </c>
      <c r="E308" s="20" t="s">
        <v>330</v>
      </c>
      <c r="F308" s="20" t="s">
        <v>289</v>
      </c>
      <c r="G308" s="26">
        <f>G309</f>
        <v>16655.2</v>
      </c>
      <c r="H308" s="177"/>
    </row>
    <row r="309" spans="1:9" ht="15.75" x14ac:dyDescent="0.25">
      <c r="A309" s="25" t="s">
        <v>290</v>
      </c>
      <c r="B309" s="16">
        <v>903</v>
      </c>
      <c r="C309" s="20" t="s">
        <v>315</v>
      </c>
      <c r="D309" s="20" t="s">
        <v>134</v>
      </c>
      <c r="E309" s="20" t="s">
        <v>330</v>
      </c>
      <c r="F309" s="20" t="s">
        <v>291</v>
      </c>
      <c r="G309" s="27">
        <f>18073+419.6-1705.8+78.4-210</f>
        <v>16655.2</v>
      </c>
      <c r="H309" s="106"/>
      <c r="I309" s="125"/>
    </row>
    <row r="310" spans="1:9" ht="38.25" customHeight="1" x14ac:dyDescent="0.25">
      <c r="A310" s="25" t="s">
        <v>331</v>
      </c>
      <c r="B310" s="16">
        <v>903</v>
      </c>
      <c r="C310" s="20" t="s">
        <v>315</v>
      </c>
      <c r="D310" s="20" t="s">
        <v>134</v>
      </c>
      <c r="E310" s="20" t="s">
        <v>332</v>
      </c>
      <c r="F310" s="20"/>
      <c r="G310" s="27">
        <f>G311+G313</f>
        <v>5</v>
      </c>
      <c r="H310" s="177"/>
    </row>
    <row r="311" spans="1:9" ht="31.5" hidden="1" x14ac:dyDescent="0.25">
      <c r="A311" s="25" t="s">
        <v>147</v>
      </c>
      <c r="B311" s="16">
        <v>903</v>
      </c>
      <c r="C311" s="20" t="s">
        <v>315</v>
      </c>
      <c r="D311" s="20" t="s">
        <v>134</v>
      </c>
      <c r="E311" s="20" t="s">
        <v>332</v>
      </c>
      <c r="F311" s="20" t="s">
        <v>148</v>
      </c>
      <c r="G311" s="27">
        <f>G312</f>
        <v>0</v>
      </c>
      <c r="H311" s="177"/>
    </row>
    <row r="312" spans="1:9" ht="47.25" hidden="1" x14ac:dyDescent="0.25">
      <c r="A312" s="25" t="s">
        <v>149</v>
      </c>
      <c r="B312" s="16">
        <v>903</v>
      </c>
      <c r="C312" s="20" t="s">
        <v>315</v>
      </c>
      <c r="D312" s="20" t="s">
        <v>134</v>
      </c>
      <c r="E312" s="20" t="s">
        <v>332</v>
      </c>
      <c r="F312" s="20" t="s">
        <v>150</v>
      </c>
      <c r="G312" s="27">
        <v>0</v>
      </c>
      <c r="H312" s="177"/>
    </row>
    <row r="313" spans="1:9" ht="47.25" x14ac:dyDescent="0.25">
      <c r="A313" s="25" t="s">
        <v>288</v>
      </c>
      <c r="B313" s="16">
        <v>903</v>
      </c>
      <c r="C313" s="20" t="s">
        <v>315</v>
      </c>
      <c r="D313" s="20" t="s">
        <v>134</v>
      </c>
      <c r="E313" s="20" t="s">
        <v>332</v>
      </c>
      <c r="F313" s="20" t="s">
        <v>289</v>
      </c>
      <c r="G313" s="27">
        <f>G314</f>
        <v>5</v>
      </c>
      <c r="H313" s="177"/>
    </row>
    <row r="314" spans="1:9" ht="15.75" x14ac:dyDescent="0.25">
      <c r="A314" s="25" t="s">
        <v>290</v>
      </c>
      <c r="B314" s="16">
        <v>903</v>
      </c>
      <c r="C314" s="20" t="s">
        <v>315</v>
      </c>
      <c r="D314" s="20" t="s">
        <v>134</v>
      </c>
      <c r="E314" s="20" t="s">
        <v>332</v>
      </c>
      <c r="F314" s="20" t="s">
        <v>291</v>
      </c>
      <c r="G314" s="27">
        <v>5</v>
      </c>
      <c r="H314" s="177"/>
    </row>
    <row r="315" spans="1:9" ht="15.75" x14ac:dyDescent="0.25">
      <c r="A315" s="25" t="s">
        <v>700</v>
      </c>
      <c r="B315" s="16">
        <v>903</v>
      </c>
      <c r="C315" s="20" t="s">
        <v>315</v>
      </c>
      <c r="D315" s="20" t="s">
        <v>134</v>
      </c>
      <c r="E315" s="20" t="s">
        <v>701</v>
      </c>
      <c r="F315" s="20"/>
      <c r="G315" s="27">
        <f>G316</f>
        <v>0.4</v>
      </c>
      <c r="H315" s="177"/>
    </row>
    <row r="316" spans="1:9" ht="47.25" x14ac:dyDescent="0.25">
      <c r="A316" s="25" t="s">
        <v>288</v>
      </c>
      <c r="B316" s="16">
        <v>903</v>
      </c>
      <c r="C316" s="20" t="s">
        <v>315</v>
      </c>
      <c r="D316" s="20" t="s">
        <v>134</v>
      </c>
      <c r="E316" s="20" t="s">
        <v>701</v>
      </c>
      <c r="F316" s="20" t="s">
        <v>289</v>
      </c>
      <c r="G316" s="27">
        <f>G317</f>
        <v>0.4</v>
      </c>
      <c r="H316" s="177"/>
    </row>
    <row r="317" spans="1:9" ht="15.75" x14ac:dyDescent="0.25">
      <c r="A317" s="25" t="s">
        <v>290</v>
      </c>
      <c r="B317" s="16">
        <v>903</v>
      </c>
      <c r="C317" s="20" t="s">
        <v>315</v>
      </c>
      <c r="D317" s="20" t="s">
        <v>134</v>
      </c>
      <c r="E317" s="20" t="s">
        <v>701</v>
      </c>
      <c r="F317" s="20" t="s">
        <v>291</v>
      </c>
      <c r="G317" s="27">
        <v>0.4</v>
      </c>
      <c r="H317" s="106"/>
    </row>
    <row r="318" spans="1:9" ht="47.25" hidden="1" x14ac:dyDescent="0.25">
      <c r="A318" s="25" t="s">
        <v>292</v>
      </c>
      <c r="B318" s="16">
        <v>903</v>
      </c>
      <c r="C318" s="20" t="s">
        <v>315</v>
      </c>
      <c r="D318" s="20" t="s">
        <v>134</v>
      </c>
      <c r="E318" s="20" t="s">
        <v>333</v>
      </c>
      <c r="F318" s="20"/>
      <c r="G318" s="26">
        <f>G319</f>
        <v>0</v>
      </c>
      <c r="H318" s="177"/>
    </row>
    <row r="319" spans="1:9" ht="47.25" hidden="1" x14ac:dyDescent="0.25">
      <c r="A319" s="25" t="s">
        <v>288</v>
      </c>
      <c r="B319" s="16">
        <v>903</v>
      </c>
      <c r="C319" s="20" t="s">
        <v>315</v>
      </c>
      <c r="D319" s="20" t="s">
        <v>134</v>
      </c>
      <c r="E319" s="20" t="s">
        <v>333</v>
      </c>
      <c r="F319" s="20" t="s">
        <v>289</v>
      </c>
      <c r="G319" s="26">
        <f>G320</f>
        <v>0</v>
      </c>
      <c r="H319" s="177"/>
    </row>
    <row r="320" spans="1:9" ht="15.75" hidden="1" x14ac:dyDescent="0.25">
      <c r="A320" s="25" t="s">
        <v>290</v>
      </c>
      <c r="B320" s="16">
        <v>903</v>
      </c>
      <c r="C320" s="20" t="s">
        <v>315</v>
      </c>
      <c r="D320" s="20" t="s">
        <v>134</v>
      </c>
      <c r="E320" s="20" t="s">
        <v>333</v>
      </c>
      <c r="F320" s="20" t="s">
        <v>291</v>
      </c>
      <c r="G320" s="26">
        <v>0</v>
      </c>
      <c r="H320" s="177"/>
    </row>
    <row r="321" spans="1:8" ht="47.25" hidden="1" x14ac:dyDescent="0.25">
      <c r="A321" s="25" t="s">
        <v>294</v>
      </c>
      <c r="B321" s="16">
        <v>903</v>
      </c>
      <c r="C321" s="20" t="s">
        <v>315</v>
      </c>
      <c r="D321" s="20" t="s">
        <v>134</v>
      </c>
      <c r="E321" s="20" t="s">
        <v>334</v>
      </c>
      <c r="F321" s="20"/>
      <c r="G321" s="26">
        <f>G322</f>
        <v>0</v>
      </c>
      <c r="H321" s="177"/>
    </row>
    <row r="322" spans="1:8" ht="47.25" hidden="1" x14ac:dyDescent="0.25">
      <c r="A322" s="25" t="s">
        <v>288</v>
      </c>
      <c r="B322" s="16">
        <v>903</v>
      </c>
      <c r="C322" s="20" t="s">
        <v>315</v>
      </c>
      <c r="D322" s="20" t="s">
        <v>134</v>
      </c>
      <c r="E322" s="20" t="s">
        <v>334</v>
      </c>
      <c r="F322" s="20" t="s">
        <v>289</v>
      </c>
      <c r="G322" s="26">
        <f>G323</f>
        <v>0</v>
      </c>
      <c r="H322" s="177"/>
    </row>
    <row r="323" spans="1:8" ht="15.75" hidden="1" x14ac:dyDescent="0.25">
      <c r="A323" s="25" t="s">
        <v>290</v>
      </c>
      <c r="B323" s="16">
        <v>903</v>
      </c>
      <c r="C323" s="20" t="s">
        <v>315</v>
      </c>
      <c r="D323" s="20" t="s">
        <v>134</v>
      </c>
      <c r="E323" s="20" t="s">
        <v>334</v>
      </c>
      <c r="F323" s="20" t="s">
        <v>291</v>
      </c>
      <c r="G323" s="26">
        <v>0</v>
      </c>
      <c r="H323" s="177"/>
    </row>
    <row r="324" spans="1:8" ht="31.5" hidden="1" x14ac:dyDescent="0.25">
      <c r="A324" s="25" t="s">
        <v>296</v>
      </c>
      <c r="B324" s="16">
        <v>903</v>
      </c>
      <c r="C324" s="20" t="s">
        <v>315</v>
      </c>
      <c r="D324" s="20" t="s">
        <v>134</v>
      </c>
      <c r="E324" s="20" t="s">
        <v>335</v>
      </c>
      <c r="F324" s="20"/>
      <c r="G324" s="26">
        <f>G325</f>
        <v>0</v>
      </c>
      <c r="H324" s="177"/>
    </row>
    <row r="325" spans="1:8" ht="47.25" hidden="1" x14ac:dyDescent="0.25">
      <c r="A325" s="25" t="s">
        <v>288</v>
      </c>
      <c r="B325" s="16">
        <v>903</v>
      </c>
      <c r="C325" s="20" t="s">
        <v>315</v>
      </c>
      <c r="D325" s="20" t="s">
        <v>134</v>
      </c>
      <c r="E325" s="20" t="s">
        <v>335</v>
      </c>
      <c r="F325" s="20" t="s">
        <v>289</v>
      </c>
      <c r="G325" s="26">
        <f>G326</f>
        <v>0</v>
      </c>
      <c r="H325" s="177"/>
    </row>
    <row r="326" spans="1:8" ht="15.75" hidden="1" x14ac:dyDescent="0.25">
      <c r="A326" s="25" t="s">
        <v>290</v>
      </c>
      <c r="B326" s="16">
        <v>903</v>
      </c>
      <c r="C326" s="20" t="s">
        <v>315</v>
      </c>
      <c r="D326" s="20" t="s">
        <v>134</v>
      </c>
      <c r="E326" s="20" t="s">
        <v>335</v>
      </c>
      <c r="F326" s="20" t="s">
        <v>291</v>
      </c>
      <c r="G326" s="26">
        <v>0</v>
      </c>
      <c r="H326" s="177"/>
    </row>
    <row r="327" spans="1:8" ht="31.5" hidden="1" x14ac:dyDescent="0.25">
      <c r="A327" s="25" t="s">
        <v>300</v>
      </c>
      <c r="B327" s="16">
        <v>903</v>
      </c>
      <c r="C327" s="20" t="s">
        <v>315</v>
      </c>
      <c r="D327" s="20" t="s">
        <v>134</v>
      </c>
      <c r="E327" s="20" t="s">
        <v>336</v>
      </c>
      <c r="F327" s="20"/>
      <c r="G327" s="26">
        <f>G328</f>
        <v>0</v>
      </c>
      <c r="H327" s="177"/>
    </row>
    <row r="328" spans="1:8" ht="47.25" hidden="1" x14ac:dyDescent="0.25">
      <c r="A328" s="25" t="s">
        <v>288</v>
      </c>
      <c r="B328" s="16">
        <v>903</v>
      </c>
      <c r="C328" s="20" t="s">
        <v>315</v>
      </c>
      <c r="D328" s="20" t="s">
        <v>134</v>
      </c>
      <c r="E328" s="20" t="s">
        <v>336</v>
      </c>
      <c r="F328" s="20" t="s">
        <v>289</v>
      </c>
      <c r="G328" s="26">
        <f>G329</f>
        <v>0</v>
      </c>
      <c r="H328" s="177"/>
    </row>
    <row r="329" spans="1:8" ht="15.75" hidden="1" x14ac:dyDescent="0.25">
      <c r="A329" s="25" t="s">
        <v>290</v>
      </c>
      <c r="B329" s="16">
        <v>903</v>
      </c>
      <c r="C329" s="20" t="s">
        <v>315</v>
      </c>
      <c r="D329" s="20" t="s">
        <v>134</v>
      </c>
      <c r="E329" s="20" t="s">
        <v>336</v>
      </c>
      <c r="F329" s="20" t="s">
        <v>291</v>
      </c>
      <c r="G329" s="26">
        <v>0</v>
      </c>
      <c r="H329" s="177"/>
    </row>
    <row r="330" spans="1:8" ht="47.25" hidden="1" x14ac:dyDescent="0.25">
      <c r="A330" s="35" t="s">
        <v>337</v>
      </c>
      <c r="B330" s="16">
        <v>903</v>
      </c>
      <c r="C330" s="20" t="s">
        <v>315</v>
      </c>
      <c r="D330" s="20" t="s">
        <v>134</v>
      </c>
      <c r="E330" s="20" t="s">
        <v>338</v>
      </c>
      <c r="F330" s="20"/>
      <c r="G330" s="26">
        <f>G331</f>
        <v>0</v>
      </c>
      <c r="H330" s="177"/>
    </row>
    <row r="331" spans="1:8" ht="47.25" hidden="1" x14ac:dyDescent="0.25">
      <c r="A331" s="25" t="s">
        <v>288</v>
      </c>
      <c r="B331" s="16">
        <v>903</v>
      </c>
      <c r="C331" s="20" t="s">
        <v>315</v>
      </c>
      <c r="D331" s="20" t="s">
        <v>134</v>
      </c>
      <c r="E331" s="20" t="s">
        <v>338</v>
      </c>
      <c r="F331" s="20" t="s">
        <v>289</v>
      </c>
      <c r="G331" s="26">
        <f>G332</f>
        <v>0</v>
      </c>
      <c r="H331" s="177"/>
    </row>
    <row r="332" spans="1:8" ht="15.75" hidden="1" x14ac:dyDescent="0.25">
      <c r="A332" s="25" t="s">
        <v>290</v>
      </c>
      <c r="B332" s="16">
        <v>903</v>
      </c>
      <c r="C332" s="20" t="s">
        <v>315</v>
      </c>
      <c r="D332" s="20" t="s">
        <v>134</v>
      </c>
      <c r="E332" s="20" t="s">
        <v>338</v>
      </c>
      <c r="F332" s="20" t="s">
        <v>291</v>
      </c>
      <c r="G332" s="26">
        <v>0</v>
      </c>
      <c r="H332" s="177"/>
    </row>
    <row r="333" spans="1:8" ht="78.75" x14ac:dyDescent="0.25">
      <c r="A333" s="29" t="s">
        <v>339</v>
      </c>
      <c r="B333" s="16">
        <v>903</v>
      </c>
      <c r="C333" s="20" t="s">
        <v>315</v>
      </c>
      <c r="D333" s="20" t="s">
        <v>134</v>
      </c>
      <c r="E333" s="40" t="s">
        <v>340</v>
      </c>
      <c r="F333" s="20"/>
      <c r="G333" s="26">
        <f>G334</f>
        <v>200</v>
      </c>
      <c r="H333" s="177"/>
    </row>
    <row r="334" spans="1:8" ht="47.25" x14ac:dyDescent="0.25">
      <c r="A334" s="25" t="s">
        <v>341</v>
      </c>
      <c r="B334" s="16">
        <v>903</v>
      </c>
      <c r="C334" s="20" t="s">
        <v>315</v>
      </c>
      <c r="D334" s="20" t="s">
        <v>134</v>
      </c>
      <c r="E334" s="40" t="s">
        <v>342</v>
      </c>
      <c r="F334" s="20"/>
      <c r="G334" s="26">
        <f>G335</f>
        <v>200</v>
      </c>
      <c r="H334" s="177"/>
    </row>
    <row r="335" spans="1:8" ht="47.25" x14ac:dyDescent="0.25">
      <c r="A335" s="25" t="s">
        <v>288</v>
      </c>
      <c r="B335" s="16">
        <v>903</v>
      </c>
      <c r="C335" s="20" t="s">
        <v>315</v>
      </c>
      <c r="D335" s="20" t="s">
        <v>134</v>
      </c>
      <c r="E335" s="40" t="s">
        <v>342</v>
      </c>
      <c r="F335" s="20" t="s">
        <v>289</v>
      </c>
      <c r="G335" s="26">
        <f>G336</f>
        <v>200</v>
      </c>
      <c r="H335" s="177"/>
    </row>
    <row r="336" spans="1:8" ht="15.75" x14ac:dyDescent="0.25">
      <c r="A336" s="25" t="s">
        <v>290</v>
      </c>
      <c r="B336" s="16">
        <v>903</v>
      </c>
      <c r="C336" s="20" t="s">
        <v>315</v>
      </c>
      <c r="D336" s="20" t="s">
        <v>134</v>
      </c>
      <c r="E336" s="40" t="s">
        <v>342</v>
      </c>
      <c r="F336" s="20" t="s">
        <v>291</v>
      </c>
      <c r="G336" s="26">
        <v>200</v>
      </c>
      <c r="H336" s="177"/>
    </row>
    <row r="337" spans="1:9" ht="15.75" x14ac:dyDescent="0.25">
      <c r="A337" s="25" t="s">
        <v>137</v>
      </c>
      <c r="B337" s="16">
        <v>903</v>
      </c>
      <c r="C337" s="20" t="s">
        <v>315</v>
      </c>
      <c r="D337" s="20" t="s">
        <v>134</v>
      </c>
      <c r="E337" s="20" t="s">
        <v>138</v>
      </c>
      <c r="F337" s="20"/>
      <c r="G337" s="26">
        <f>G338</f>
        <v>2137.9</v>
      </c>
      <c r="H337" s="177"/>
    </row>
    <row r="338" spans="1:9" ht="31.5" x14ac:dyDescent="0.25">
      <c r="A338" s="25" t="s">
        <v>201</v>
      </c>
      <c r="B338" s="16">
        <v>903</v>
      </c>
      <c r="C338" s="20" t="s">
        <v>315</v>
      </c>
      <c r="D338" s="20" t="s">
        <v>134</v>
      </c>
      <c r="E338" s="20" t="s">
        <v>202</v>
      </c>
      <c r="F338" s="20"/>
      <c r="G338" s="26">
        <f>G339+G344+G349+G352+G355</f>
        <v>2137.9</v>
      </c>
      <c r="H338" s="177"/>
    </row>
    <row r="339" spans="1:9" ht="31.5" hidden="1" x14ac:dyDescent="0.25">
      <c r="A339" s="36" t="s">
        <v>343</v>
      </c>
      <c r="B339" s="37">
        <v>903</v>
      </c>
      <c r="C339" s="20" t="s">
        <v>315</v>
      </c>
      <c r="D339" s="20" t="s">
        <v>134</v>
      </c>
      <c r="E339" s="20" t="s">
        <v>344</v>
      </c>
      <c r="F339" s="20"/>
      <c r="G339" s="26">
        <f>G340+G342</f>
        <v>0</v>
      </c>
      <c r="H339" s="177"/>
    </row>
    <row r="340" spans="1:9" ht="31.5" hidden="1" x14ac:dyDescent="0.25">
      <c r="A340" s="25" t="s">
        <v>147</v>
      </c>
      <c r="B340" s="37">
        <v>903</v>
      </c>
      <c r="C340" s="20" t="s">
        <v>315</v>
      </c>
      <c r="D340" s="20" t="s">
        <v>134</v>
      </c>
      <c r="E340" s="20" t="s">
        <v>344</v>
      </c>
      <c r="F340" s="20" t="s">
        <v>148</v>
      </c>
      <c r="G340" s="26">
        <f>G341</f>
        <v>0</v>
      </c>
      <c r="H340" s="177"/>
    </row>
    <row r="341" spans="1:9" ht="47.25" hidden="1" x14ac:dyDescent="0.25">
      <c r="A341" s="25" t="s">
        <v>149</v>
      </c>
      <c r="B341" s="16">
        <v>903</v>
      </c>
      <c r="C341" s="20" t="s">
        <v>315</v>
      </c>
      <c r="D341" s="20" t="s">
        <v>134</v>
      </c>
      <c r="E341" s="20" t="s">
        <v>344</v>
      </c>
      <c r="F341" s="20" t="s">
        <v>150</v>
      </c>
      <c r="G341" s="26">
        <f>1.4-1.4</f>
        <v>0</v>
      </c>
      <c r="H341" s="177"/>
      <c r="I341" s="115"/>
    </row>
    <row r="342" spans="1:9" ht="47.25" hidden="1" x14ac:dyDescent="0.25">
      <c r="A342" s="25" t="s">
        <v>288</v>
      </c>
      <c r="B342" s="16">
        <v>903</v>
      </c>
      <c r="C342" s="20" t="s">
        <v>315</v>
      </c>
      <c r="D342" s="20" t="s">
        <v>134</v>
      </c>
      <c r="E342" s="20" t="s">
        <v>344</v>
      </c>
      <c r="F342" s="20" t="s">
        <v>289</v>
      </c>
      <c r="G342" s="26">
        <f>G343</f>
        <v>0</v>
      </c>
      <c r="H342" s="177"/>
    </row>
    <row r="343" spans="1:9" ht="15.75" hidden="1" x14ac:dyDescent="0.25">
      <c r="A343" s="25" t="s">
        <v>290</v>
      </c>
      <c r="B343" s="16">
        <v>903</v>
      </c>
      <c r="C343" s="20" t="s">
        <v>315</v>
      </c>
      <c r="D343" s="20" t="s">
        <v>134</v>
      </c>
      <c r="E343" s="20" t="s">
        <v>344</v>
      </c>
      <c r="F343" s="20" t="s">
        <v>291</v>
      </c>
      <c r="G343" s="26">
        <f>2.9-2.9</f>
        <v>0</v>
      </c>
      <c r="H343" s="177"/>
      <c r="I343" s="115"/>
    </row>
    <row r="344" spans="1:9" ht="31.5" x14ac:dyDescent="0.25">
      <c r="A344" s="25" t="s">
        <v>345</v>
      </c>
      <c r="B344" s="16">
        <v>903</v>
      </c>
      <c r="C344" s="20" t="s">
        <v>315</v>
      </c>
      <c r="D344" s="20" t="s">
        <v>134</v>
      </c>
      <c r="E344" s="20" t="s">
        <v>346</v>
      </c>
      <c r="F344" s="20"/>
      <c r="G344" s="26">
        <f>G345+G347</f>
        <v>177.3</v>
      </c>
      <c r="H344" s="177"/>
    </row>
    <row r="345" spans="1:9" ht="31.5" hidden="1" x14ac:dyDescent="0.25">
      <c r="A345" s="25" t="s">
        <v>147</v>
      </c>
      <c r="B345" s="16">
        <v>903</v>
      </c>
      <c r="C345" s="20" t="s">
        <v>315</v>
      </c>
      <c r="D345" s="20" t="s">
        <v>134</v>
      </c>
      <c r="E345" s="20" t="s">
        <v>346</v>
      </c>
      <c r="F345" s="20" t="s">
        <v>148</v>
      </c>
      <c r="G345" s="26">
        <f>G346</f>
        <v>0</v>
      </c>
      <c r="H345" s="177"/>
    </row>
    <row r="346" spans="1:9" ht="47.25" hidden="1" x14ac:dyDescent="0.25">
      <c r="A346" s="25" t="s">
        <v>149</v>
      </c>
      <c r="B346" s="16">
        <v>903</v>
      </c>
      <c r="C346" s="20" t="s">
        <v>315</v>
      </c>
      <c r="D346" s="20" t="s">
        <v>134</v>
      </c>
      <c r="E346" s="20" t="s">
        <v>346</v>
      </c>
      <c r="F346" s="38">
        <v>240</v>
      </c>
      <c r="G346" s="26">
        <v>0</v>
      </c>
      <c r="H346" s="177"/>
    </row>
    <row r="347" spans="1:9" ht="47.25" x14ac:dyDescent="0.25">
      <c r="A347" s="25" t="s">
        <v>288</v>
      </c>
      <c r="B347" s="16">
        <v>903</v>
      </c>
      <c r="C347" s="20" t="s">
        <v>315</v>
      </c>
      <c r="D347" s="20" t="s">
        <v>134</v>
      </c>
      <c r="E347" s="20" t="s">
        <v>346</v>
      </c>
      <c r="F347" s="20" t="s">
        <v>289</v>
      </c>
      <c r="G347" s="26">
        <f>G348</f>
        <v>177.3</v>
      </c>
      <c r="H347" s="177"/>
    </row>
    <row r="348" spans="1:9" ht="15.75" x14ac:dyDescent="0.25">
      <c r="A348" s="25" t="s">
        <v>290</v>
      </c>
      <c r="B348" s="16">
        <v>903</v>
      </c>
      <c r="C348" s="20" t="s">
        <v>315</v>
      </c>
      <c r="D348" s="20" t="s">
        <v>134</v>
      </c>
      <c r="E348" s="20" t="s">
        <v>346</v>
      </c>
      <c r="F348" s="20" t="s">
        <v>291</v>
      </c>
      <c r="G348" s="26">
        <f>274.5-97.2</f>
        <v>177.3</v>
      </c>
      <c r="H348" s="177"/>
      <c r="I348" s="115"/>
    </row>
    <row r="349" spans="1:9" ht="78.75" x14ac:dyDescent="0.25">
      <c r="A349" s="25" t="s">
        <v>347</v>
      </c>
      <c r="B349" s="16">
        <v>903</v>
      </c>
      <c r="C349" s="20" t="s">
        <v>315</v>
      </c>
      <c r="D349" s="20" t="s">
        <v>134</v>
      </c>
      <c r="E349" s="20" t="s">
        <v>348</v>
      </c>
      <c r="F349" s="20"/>
      <c r="G349" s="26">
        <f>G350</f>
        <v>263.3</v>
      </c>
      <c r="H349" s="177"/>
    </row>
    <row r="350" spans="1:9" ht="47.25" x14ac:dyDescent="0.25">
      <c r="A350" s="25" t="s">
        <v>288</v>
      </c>
      <c r="B350" s="16">
        <v>903</v>
      </c>
      <c r="C350" s="20" t="s">
        <v>315</v>
      </c>
      <c r="D350" s="20" t="s">
        <v>134</v>
      </c>
      <c r="E350" s="20" t="s">
        <v>348</v>
      </c>
      <c r="F350" s="20" t="s">
        <v>289</v>
      </c>
      <c r="G350" s="26">
        <f>G351</f>
        <v>263.3</v>
      </c>
      <c r="H350" s="177"/>
    </row>
    <row r="351" spans="1:9" ht="15.75" x14ac:dyDescent="0.25">
      <c r="A351" s="25" t="s">
        <v>290</v>
      </c>
      <c r="B351" s="16">
        <v>903</v>
      </c>
      <c r="C351" s="20" t="s">
        <v>315</v>
      </c>
      <c r="D351" s="20" t="s">
        <v>134</v>
      </c>
      <c r="E351" s="20" t="s">
        <v>348</v>
      </c>
      <c r="F351" s="20" t="s">
        <v>291</v>
      </c>
      <c r="G351" s="26">
        <f>247.6+15.7</f>
        <v>263.3</v>
      </c>
      <c r="H351" s="177"/>
      <c r="I351" s="115"/>
    </row>
    <row r="352" spans="1:9" ht="110.25" x14ac:dyDescent="0.25">
      <c r="A352" s="31" t="s">
        <v>309</v>
      </c>
      <c r="B352" s="16">
        <v>903</v>
      </c>
      <c r="C352" s="20" t="s">
        <v>315</v>
      </c>
      <c r="D352" s="20" t="s">
        <v>134</v>
      </c>
      <c r="E352" s="20" t="s">
        <v>310</v>
      </c>
      <c r="F352" s="20"/>
      <c r="G352" s="26">
        <f>G353</f>
        <v>1693.3000000000002</v>
      </c>
      <c r="H352" s="177"/>
    </row>
    <row r="353" spans="1:9" ht="47.25" x14ac:dyDescent="0.25">
      <c r="A353" s="25" t="s">
        <v>288</v>
      </c>
      <c r="B353" s="16">
        <v>903</v>
      </c>
      <c r="C353" s="20" t="s">
        <v>315</v>
      </c>
      <c r="D353" s="20" t="s">
        <v>134</v>
      </c>
      <c r="E353" s="20" t="s">
        <v>310</v>
      </c>
      <c r="F353" s="20" t="s">
        <v>289</v>
      </c>
      <c r="G353" s="26">
        <f>G354</f>
        <v>1693.3000000000002</v>
      </c>
      <c r="H353" s="177"/>
    </row>
    <row r="354" spans="1:9" ht="15.75" x14ac:dyDescent="0.25">
      <c r="A354" s="25" t="s">
        <v>290</v>
      </c>
      <c r="B354" s="16">
        <v>903</v>
      </c>
      <c r="C354" s="20" t="s">
        <v>315</v>
      </c>
      <c r="D354" s="20" t="s">
        <v>134</v>
      </c>
      <c r="E354" s="20" t="s">
        <v>310</v>
      </c>
      <c r="F354" s="20" t="s">
        <v>291</v>
      </c>
      <c r="G354" s="26">
        <f>1929.4-236.1</f>
        <v>1693.3000000000002</v>
      </c>
      <c r="H354" s="177"/>
    </row>
    <row r="355" spans="1:9" ht="15.75" x14ac:dyDescent="0.25">
      <c r="A355" s="31" t="s">
        <v>702</v>
      </c>
      <c r="B355" s="16">
        <v>903</v>
      </c>
      <c r="C355" s="20" t="s">
        <v>315</v>
      </c>
      <c r="D355" s="20" t="s">
        <v>134</v>
      </c>
      <c r="E355" s="20" t="s">
        <v>703</v>
      </c>
      <c r="F355" s="20"/>
      <c r="G355" s="26">
        <f>G356</f>
        <v>4</v>
      </c>
      <c r="H355" s="177"/>
    </row>
    <row r="356" spans="1:9" ht="47.25" x14ac:dyDescent="0.25">
      <c r="A356" s="25" t="s">
        <v>288</v>
      </c>
      <c r="B356" s="16">
        <v>903</v>
      </c>
      <c r="C356" s="20" t="s">
        <v>315</v>
      </c>
      <c r="D356" s="20" t="s">
        <v>134</v>
      </c>
      <c r="E356" s="20" t="s">
        <v>703</v>
      </c>
      <c r="F356" s="20" t="s">
        <v>289</v>
      </c>
      <c r="G356" s="26">
        <f>G357</f>
        <v>4</v>
      </c>
      <c r="H356" s="177"/>
    </row>
    <row r="357" spans="1:9" ht="15.75" x14ac:dyDescent="0.25">
      <c r="A357" s="25" t="s">
        <v>290</v>
      </c>
      <c r="B357" s="16">
        <v>903</v>
      </c>
      <c r="C357" s="20" t="s">
        <v>315</v>
      </c>
      <c r="D357" s="20" t="s">
        <v>134</v>
      </c>
      <c r="E357" s="20" t="s">
        <v>703</v>
      </c>
      <c r="F357" s="20" t="s">
        <v>291</v>
      </c>
      <c r="G357" s="26">
        <v>4</v>
      </c>
      <c r="H357" s="106"/>
    </row>
    <row r="358" spans="1:9" ht="31.5" x14ac:dyDescent="0.25">
      <c r="A358" s="23" t="s">
        <v>349</v>
      </c>
      <c r="B358" s="19">
        <v>903</v>
      </c>
      <c r="C358" s="24" t="s">
        <v>315</v>
      </c>
      <c r="D358" s="24" t="s">
        <v>166</v>
      </c>
      <c r="E358" s="24"/>
      <c r="F358" s="24"/>
      <c r="G358" s="21">
        <f>G359+G373+G369</f>
        <v>17278.8</v>
      </c>
      <c r="H358" s="177"/>
    </row>
    <row r="359" spans="1:9" ht="47.25" x14ac:dyDescent="0.25">
      <c r="A359" s="25" t="s">
        <v>350</v>
      </c>
      <c r="B359" s="16">
        <v>903</v>
      </c>
      <c r="C359" s="20" t="s">
        <v>315</v>
      </c>
      <c r="D359" s="20" t="s">
        <v>166</v>
      </c>
      <c r="E359" s="20" t="s">
        <v>351</v>
      </c>
      <c r="F359" s="20"/>
      <c r="G359" s="26">
        <f>G360+G363+G366</f>
        <v>125</v>
      </c>
      <c r="H359" s="177"/>
      <c r="I359" s="115"/>
    </row>
    <row r="360" spans="1:9" ht="31.5" hidden="1" x14ac:dyDescent="0.25">
      <c r="A360" s="25" t="s">
        <v>352</v>
      </c>
      <c r="B360" s="16">
        <v>903</v>
      </c>
      <c r="C360" s="20" t="s">
        <v>315</v>
      </c>
      <c r="D360" s="20" t="s">
        <v>166</v>
      </c>
      <c r="E360" s="20" t="s">
        <v>353</v>
      </c>
      <c r="F360" s="20"/>
      <c r="G360" s="26">
        <f>G361</f>
        <v>0</v>
      </c>
      <c r="H360" s="177"/>
    </row>
    <row r="361" spans="1:9" ht="31.5" hidden="1" x14ac:dyDescent="0.25">
      <c r="A361" s="25" t="s">
        <v>147</v>
      </c>
      <c r="B361" s="16">
        <v>903</v>
      </c>
      <c r="C361" s="20" t="s">
        <v>315</v>
      </c>
      <c r="D361" s="20" t="s">
        <v>166</v>
      </c>
      <c r="E361" s="20" t="s">
        <v>353</v>
      </c>
      <c r="F361" s="20" t="s">
        <v>148</v>
      </c>
      <c r="G361" s="26">
        <f>G362</f>
        <v>0</v>
      </c>
      <c r="H361" s="177"/>
    </row>
    <row r="362" spans="1:9" ht="47.25" hidden="1" x14ac:dyDescent="0.25">
      <c r="A362" s="25" t="s">
        <v>149</v>
      </c>
      <c r="B362" s="16">
        <v>903</v>
      </c>
      <c r="C362" s="20" t="s">
        <v>315</v>
      </c>
      <c r="D362" s="20" t="s">
        <v>166</v>
      </c>
      <c r="E362" s="20" t="s">
        <v>353</v>
      </c>
      <c r="F362" s="20" t="s">
        <v>150</v>
      </c>
      <c r="G362" s="26">
        <v>0</v>
      </c>
      <c r="H362" s="177"/>
    </row>
    <row r="363" spans="1:9" ht="31.5" x14ac:dyDescent="0.25">
      <c r="A363" s="25" t="s">
        <v>354</v>
      </c>
      <c r="B363" s="16">
        <v>903</v>
      </c>
      <c r="C363" s="20" t="s">
        <v>315</v>
      </c>
      <c r="D363" s="20" t="s">
        <v>166</v>
      </c>
      <c r="E363" s="20" t="s">
        <v>355</v>
      </c>
      <c r="F363" s="20"/>
      <c r="G363" s="26">
        <f>G364</f>
        <v>20</v>
      </c>
      <c r="H363" s="177"/>
    </row>
    <row r="364" spans="1:9" ht="31.5" x14ac:dyDescent="0.25">
      <c r="A364" s="25" t="s">
        <v>147</v>
      </c>
      <c r="B364" s="16">
        <v>903</v>
      </c>
      <c r="C364" s="20" t="s">
        <v>315</v>
      </c>
      <c r="D364" s="20" t="s">
        <v>166</v>
      </c>
      <c r="E364" s="20" t="s">
        <v>355</v>
      </c>
      <c r="F364" s="20" t="s">
        <v>148</v>
      </c>
      <c r="G364" s="26">
        <f>G365</f>
        <v>20</v>
      </c>
      <c r="H364" s="177"/>
    </row>
    <row r="365" spans="1:9" ht="47.25" x14ac:dyDescent="0.25">
      <c r="A365" s="25" t="s">
        <v>149</v>
      </c>
      <c r="B365" s="16">
        <v>903</v>
      </c>
      <c r="C365" s="20" t="s">
        <v>315</v>
      </c>
      <c r="D365" s="20" t="s">
        <v>166</v>
      </c>
      <c r="E365" s="20" t="s">
        <v>355</v>
      </c>
      <c r="F365" s="20" t="s">
        <v>150</v>
      </c>
      <c r="G365" s="26">
        <v>20</v>
      </c>
      <c r="H365" s="177"/>
    </row>
    <row r="366" spans="1:9" ht="63" x14ac:dyDescent="0.25">
      <c r="A366" s="25" t="s">
        <v>731</v>
      </c>
      <c r="B366" s="16">
        <v>903</v>
      </c>
      <c r="C366" s="20" t="s">
        <v>315</v>
      </c>
      <c r="D366" s="20" t="s">
        <v>166</v>
      </c>
      <c r="E366" s="20" t="s">
        <v>697</v>
      </c>
      <c r="F366" s="20"/>
      <c r="G366" s="26">
        <f>G367</f>
        <v>105</v>
      </c>
      <c r="H366" s="177"/>
    </row>
    <row r="367" spans="1:9" ht="39.75" customHeight="1" x14ac:dyDescent="0.25">
      <c r="A367" s="25" t="s">
        <v>147</v>
      </c>
      <c r="B367" s="16">
        <v>903</v>
      </c>
      <c r="C367" s="20" t="s">
        <v>315</v>
      </c>
      <c r="D367" s="20" t="s">
        <v>166</v>
      </c>
      <c r="E367" s="20" t="s">
        <v>697</v>
      </c>
      <c r="F367" s="20" t="s">
        <v>148</v>
      </c>
      <c r="G367" s="26">
        <f>G368</f>
        <v>105</v>
      </c>
      <c r="H367" s="177"/>
    </row>
    <row r="368" spans="1:9" ht="47.25" x14ac:dyDescent="0.25">
      <c r="A368" s="25" t="s">
        <v>149</v>
      </c>
      <c r="B368" s="16">
        <v>903</v>
      </c>
      <c r="C368" s="20" t="s">
        <v>315</v>
      </c>
      <c r="D368" s="20" t="s">
        <v>166</v>
      </c>
      <c r="E368" s="20" t="s">
        <v>697</v>
      </c>
      <c r="F368" s="20" t="s">
        <v>150</v>
      </c>
      <c r="G368" s="26">
        <f>55+50</f>
        <v>105</v>
      </c>
      <c r="H368" s="106"/>
      <c r="I368" s="124"/>
    </row>
    <row r="369" spans="1:11" ht="63" x14ac:dyDescent="0.25">
      <c r="A369" s="29" t="s">
        <v>730</v>
      </c>
      <c r="B369" s="16">
        <v>903</v>
      </c>
      <c r="C369" s="20" t="s">
        <v>315</v>
      </c>
      <c r="D369" s="20" t="s">
        <v>166</v>
      </c>
      <c r="E369" s="20" t="s">
        <v>728</v>
      </c>
      <c r="F369" s="20"/>
      <c r="G369" s="26">
        <f>G370</f>
        <v>5</v>
      </c>
      <c r="H369" s="177"/>
    </row>
    <row r="370" spans="1:11" ht="31.5" x14ac:dyDescent="0.25">
      <c r="A370" s="25" t="s">
        <v>385</v>
      </c>
      <c r="B370" s="16">
        <v>903</v>
      </c>
      <c r="C370" s="20" t="s">
        <v>315</v>
      </c>
      <c r="D370" s="20" t="s">
        <v>166</v>
      </c>
      <c r="E370" s="20" t="s">
        <v>736</v>
      </c>
      <c r="F370" s="20"/>
      <c r="G370" s="26">
        <f>G371</f>
        <v>5</v>
      </c>
      <c r="H370" s="177"/>
    </row>
    <row r="371" spans="1:11" ht="31.5" x14ac:dyDescent="0.25">
      <c r="A371" s="25" t="s">
        <v>147</v>
      </c>
      <c r="B371" s="16">
        <v>903</v>
      </c>
      <c r="C371" s="20" t="s">
        <v>315</v>
      </c>
      <c r="D371" s="20" t="s">
        <v>166</v>
      </c>
      <c r="E371" s="20" t="s">
        <v>736</v>
      </c>
      <c r="F371" s="20" t="s">
        <v>148</v>
      </c>
      <c r="G371" s="26">
        <f>G372</f>
        <v>5</v>
      </c>
      <c r="H371" s="177"/>
    </row>
    <row r="372" spans="1:11" ht="47.25" x14ac:dyDescent="0.25">
      <c r="A372" s="25" t="s">
        <v>149</v>
      </c>
      <c r="B372" s="16">
        <v>903</v>
      </c>
      <c r="C372" s="20" t="s">
        <v>315</v>
      </c>
      <c r="D372" s="20" t="s">
        <v>166</v>
      </c>
      <c r="E372" s="20" t="s">
        <v>736</v>
      </c>
      <c r="F372" s="20" t="s">
        <v>150</v>
      </c>
      <c r="G372" s="26">
        <v>5</v>
      </c>
      <c r="H372" s="106"/>
      <c r="I372" s="124"/>
    </row>
    <row r="373" spans="1:11" ht="15.75" x14ac:dyDescent="0.25">
      <c r="A373" s="25" t="s">
        <v>137</v>
      </c>
      <c r="B373" s="16">
        <v>903</v>
      </c>
      <c r="C373" s="20" t="s">
        <v>315</v>
      </c>
      <c r="D373" s="20" t="s">
        <v>166</v>
      </c>
      <c r="E373" s="20" t="s">
        <v>138</v>
      </c>
      <c r="F373" s="20"/>
      <c r="G373" s="26">
        <f>G374+G380</f>
        <v>17148.8</v>
      </c>
      <c r="H373" s="177"/>
    </row>
    <row r="374" spans="1:11" ht="31.5" x14ac:dyDescent="0.25">
      <c r="A374" s="25" t="s">
        <v>139</v>
      </c>
      <c r="B374" s="16">
        <v>903</v>
      </c>
      <c r="C374" s="20" t="s">
        <v>315</v>
      </c>
      <c r="D374" s="20" t="s">
        <v>166</v>
      </c>
      <c r="E374" s="20" t="s">
        <v>140</v>
      </c>
      <c r="F374" s="20"/>
      <c r="G374" s="26">
        <f>G375</f>
        <v>6754.9</v>
      </c>
      <c r="H374" s="177"/>
    </row>
    <row r="375" spans="1:11" ht="47.25" x14ac:dyDescent="0.25">
      <c r="A375" s="25" t="s">
        <v>141</v>
      </c>
      <c r="B375" s="16">
        <v>903</v>
      </c>
      <c r="C375" s="20" t="s">
        <v>315</v>
      </c>
      <c r="D375" s="20" t="s">
        <v>166</v>
      </c>
      <c r="E375" s="20" t="s">
        <v>142</v>
      </c>
      <c r="F375" s="20"/>
      <c r="G375" s="26">
        <f>G376+G378</f>
        <v>6754.9</v>
      </c>
      <c r="H375" s="177"/>
    </row>
    <row r="376" spans="1:11" ht="94.5" x14ac:dyDescent="0.25">
      <c r="A376" s="25" t="s">
        <v>143</v>
      </c>
      <c r="B376" s="16">
        <v>903</v>
      </c>
      <c r="C376" s="20" t="s">
        <v>315</v>
      </c>
      <c r="D376" s="20" t="s">
        <v>166</v>
      </c>
      <c r="E376" s="20" t="s">
        <v>142</v>
      </c>
      <c r="F376" s="20" t="s">
        <v>144</v>
      </c>
      <c r="G376" s="26">
        <f>G377</f>
        <v>6754.9</v>
      </c>
      <c r="H376" s="177"/>
    </row>
    <row r="377" spans="1:11" ht="31.5" x14ac:dyDescent="0.25">
      <c r="A377" s="25" t="s">
        <v>145</v>
      </c>
      <c r="B377" s="16">
        <v>903</v>
      </c>
      <c r="C377" s="20" t="s">
        <v>315</v>
      </c>
      <c r="D377" s="20" t="s">
        <v>166</v>
      </c>
      <c r="E377" s="20" t="s">
        <v>142</v>
      </c>
      <c r="F377" s="20" t="s">
        <v>146</v>
      </c>
      <c r="G377" s="27">
        <v>6754.9</v>
      </c>
      <c r="H377" s="177"/>
    </row>
    <row r="378" spans="1:11" ht="31.5" hidden="1" x14ac:dyDescent="0.25">
      <c r="A378" s="25" t="s">
        <v>147</v>
      </c>
      <c r="B378" s="16">
        <v>903</v>
      </c>
      <c r="C378" s="20" t="s">
        <v>315</v>
      </c>
      <c r="D378" s="20" t="s">
        <v>166</v>
      </c>
      <c r="E378" s="20" t="s">
        <v>142</v>
      </c>
      <c r="F378" s="20" t="s">
        <v>148</v>
      </c>
      <c r="G378" s="26">
        <f>G379</f>
        <v>0</v>
      </c>
      <c r="H378" s="177"/>
    </row>
    <row r="379" spans="1:11" ht="47.25" hidden="1" x14ac:dyDescent="0.25">
      <c r="A379" s="25" t="s">
        <v>149</v>
      </c>
      <c r="B379" s="16">
        <v>903</v>
      </c>
      <c r="C379" s="20" t="s">
        <v>315</v>
      </c>
      <c r="D379" s="20" t="s">
        <v>166</v>
      </c>
      <c r="E379" s="20" t="s">
        <v>142</v>
      </c>
      <c r="F379" s="20" t="s">
        <v>150</v>
      </c>
      <c r="G379" s="26"/>
      <c r="H379" s="177"/>
    </row>
    <row r="380" spans="1:11" ht="15.75" x14ac:dyDescent="0.25">
      <c r="A380" s="25" t="s">
        <v>157</v>
      </c>
      <c r="B380" s="16">
        <v>903</v>
      </c>
      <c r="C380" s="20" t="s">
        <v>315</v>
      </c>
      <c r="D380" s="20" t="s">
        <v>166</v>
      </c>
      <c r="E380" s="20" t="s">
        <v>158</v>
      </c>
      <c r="F380" s="20"/>
      <c r="G380" s="26">
        <f>G381</f>
        <v>10393.9</v>
      </c>
      <c r="H380" s="177"/>
    </row>
    <row r="381" spans="1:11" ht="31.5" x14ac:dyDescent="0.25">
      <c r="A381" s="25" t="s">
        <v>356</v>
      </c>
      <c r="B381" s="16">
        <v>903</v>
      </c>
      <c r="C381" s="20" t="s">
        <v>315</v>
      </c>
      <c r="D381" s="20" t="s">
        <v>166</v>
      </c>
      <c r="E381" s="20" t="s">
        <v>357</v>
      </c>
      <c r="F381" s="20"/>
      <c r="G381" s="26">
        <f>G382+G384+G386</f>
        <v>10393.9</v>
      </c>
      <c r="H381" s="177"/>
      <c r="J381" s="394"/>
      <c r="K381" s="394"/>
    </row>
    <row r="382" spans="1:11" ht="94.5" x14ac:dyDescent="0.25">
      <c r="A382" s="25" t="s">
        <v>143</v>
      </c>
      <c r="B382" s="16">
        <v>903</v>
      </c>
      <c r="C382" s="20" t="s">
        <v>315</v>
      </c>
      <c r="D382" s="20" t="s">
        <v>166</v>
      </c>
      <c r="E382" s="20" t="s">
        <v>357</v>
      </c>
      <c r="F382" s="20" t="s">
        <v>144</v>
      </c>
      <c r="G382" s="26">
        <f>G383</f>
        <v>8721.4</v>
      </c>
      <c r="H382" s="177"/>
      <c r="J382" s="394"/>
      <c r="K382" s="394"/>
    </row>
    <row r="383" spans="1:11" ht="31.5" x14ac:dyDescent="0.25">
      <c r="A383" s="25" t="s">
        <v>358</v>
      </c>
      <c r="B383" s="16">
        <v>903</v>
      </c>
      <c r="C383" s="20" t="s">
        <v>315</v>
      </c>
      <c r="D383" s="20" t="s">
        <v>166</v>
      </c>
      <c r="E383" s="20" t="s">
        <v>357</v>
      </c>
      <c r="F383" s="20" t="s">
        <v>225</v>
      </c>
      <c r="G383" s="27">
        <f>8596.3-84.9+210</f>
        <v>8721.4</v>
      </c>
      <c r="H383" s="106"/>
      <c r="I383" s="124"/>
      <c r="J383" s="394"/>
      <c r="K383" s="394"/>
    </row>
    <row r="384" spans="1:11" ht="31.5" x14ac:dyDescent="0.25">
      <c r="A384" s="25" t="s">
        <v>147</v>
      </c>
      <c r="B384" s="16">
        <v>903</v>
      </c>
      <c r="C384" s="20" t="s">
        <v>315</v>
      </c>
      <c r="D384" s="20" t="s">
        <v>166</v>
      </c>
      <c r="E384" s="20" t="s">
        <v>357</v>
      </c>
      <c r="F384" s="20" t="s">
        <v>148</v>
      </c>
      <c r="G384" s="26">
        <f>G385</f>
        <v>1652.5</v>
      </c>
      <c r="H384" s="177"/>
      <c r="J384" s="394"/>
      <c r="K384" s="394"/>
    </row>
    <row r="385" spans="1:11" ht="47.25" x14ac:dyDescent="0.25">
      <c r="A385" s="25" t="s">
        <v>149</v>
      </c>
      <c r="B385" s="16">
        <v>903</v>
      </c>
      <c r="C385" s="20" t="s">
        <v>315</v>
      </c>
      <c r="D385" s="20" t="s">
        <v>166</v>
      </c>
      <c r="E385" s="20" t="s">
        <v>357</v>
      </c>
      <c r="F385" s="20" t="s">
        <v>150</v>
      </c>
      <c r="G385" s="27">
        <f>1663.9+135.6-147</f>
        <v>1652.5</v>
      </c>
      <c r="H385" s="106"/>
      <c r="I385" s="125"/>
      <c r="J385" s="394"/>
      <c r="K385" s="394"/>
    </row>
    <row r="386" spans="1:11" ht="15.75" x14ac:dyDescent="0.25">
      <c r="A386" s="25" t="s">
        <v>151</v>
      </c>
      <c r="B386" s="16">
        <v>903</v>
      </c>
      <c r="C386" s="20" t="s">
        <v>315</v>
      </c>
      <c r="D386" s="20" t="s">
        <v>166</v>
      </c>
      <c r="E386" s="20" t="s">
        <v>357</v>
      </c>
      <c r="F386" s="20" t="s">
        <v>161</v>
      </c>
      <c r="G386" s="26">
        <f>G387</f>
        <v>20</v>
      </c>
      <c r="H386" s="177"/>
      <c r="J386" s="394"/>
      <c r="K386" s="394"/>
    </row>
    <row r="387" spans="1:11" ht="15.75" x14ac:dyDescent="0.25">
      <c r="A387" s="25" t="s">
        <v>584</v>
      </c>
      <c r="B387" s="16">
        <v>903</v>
      </c>
      <c r="C387" s="20" t="s">
        <v>315</v>
      </c>
      <c r="D387" s="20" t="s">
        <v>166</v>
      </c>
      <c r="E387" s="20" t="s">
        <v>357</v>
      </c>
      <c r="F387" s="20" t="s">
        <v>154</v>
      </c>
      <c r="G387" s="26">
        <v>20</v>
      </c>
      <c r="H387" s="177"/>
      <c r="J387" s="394"/>
      <c r="K387" s="394"/>
    </row>
    <row r="388" spans="1:11" ht="15.75" x14ac:dyDescent="0.25">
      <c r="A388" s="23" t="s">
        <v>259</v>
      </c>
      <c r="B388" s="19">
        <v>903</v>
      </c>
      <c r="C388" s="24" t="s">
        <v>260</v>
      </c>
      <c r="D388" s="24"/>
      <c r="E388" s="24"/>
      <c r="F388" s="24"/>
      <c r="G388" s="21">
        <f>G389</f>
        <v>4625</v>
      </c>
      <c r="H388" s="177"/>
    </row>
    <row r="389" spans="1:11" ht="15.75" x14ac:dyDescent="0.25">
      <c r="A389" s="23" t="s">
        <v>268</v>
      </c>
      <c r="B389" s="19">
        <v>903</v>
      </c>
      <c r="C389" s="24" t="s">
        <v>260</v>
      </c>
      <c r="D389" s="24" t="s">
        <v>231</v>
      </c>
      <c r="E389" s="24"/>
      <c r="F389" s="24"/>
      <c r="G389" s="21">
        <f>G390+G443</f>
        <v>4625</v>
      </c>
      <c r="H389" s="177"/>
    </row>
    <row r="390" spans="1:11" ht="47.25" x14ac:dyDescent="0.25">
      <c r="A390" s="25" t="s">
        <v>359</v>
      </c>
      <c r="B390" s="16">
        <v>903</v>
      </c>
      <c r="C390" s="20" t="s">
        <v>260</v>
      </c>
      <c r="D390" s="20" t="s">
        <v>231</v>
      </c>
      <c r="E390" s="20" t="s">
        <v>360</v>
      </c>
      <c r="F390" s="20"/>
      <c r="G390" s="26">
        <f>G391+G399+G403+G407+G413+G417+G421+G439</f>
        <v>3693</v>
      </c>
      <c r="H390" s="177"/>
    </row>
    <row r="391" spans="1:11" ht="31.5" x14ac:dyDescent="0.25">
      <c r="A391" s="25" t="s">
        <v>361</v>
      </c>
      <c r="B391" s="16">
        <v>903</v>
      </c>
      <c r="C391" s="20" t="s">
        <v>260</v>
      </c>
      <c r="D391" s="20" t="s">
        <v>231</v>
      </c>
      <c r="E391" s="20" t="s">
        <v>362</v>
      </c>
      <c r="F391" s="20"/>
      <c r="G391" s="26">
        <f>G392+G396</f>
        <v>935</v>
      </c>
      <c r="H391" s="177"/>
    </row>
    <row r="392" spans="1:11" ht="31.5" x14ac:dyDescent="0.25">
      <c r="A392" s="25" t="s">
        <v>147</v>
      </c>
      <c r="B392" s="16">
        <v>903</v>
      </c>
      <c r="C392" s="20" t="s">
        <v>260</v>
      </c>
      <c r="D392" s="20" t="s">
        <v>231</v>
      </c>
      <c r="E392" s="20" t="s">
        <v>363</v>
      </c>
      <c r="F392" s="20" t="s">
        <v>148</v>
      </c>
      <c r="G392" s="26">
        <f>G393</f>
        <v>666.4</v>
      </c>
      <c r="H392" s="177"/>
    </row>
    <row r="393" spans="1:11" ht="47.25" x14ac:dyDescent="0.25">
      <c r="A393" s="25" t="s">
        <v>149</v>
      </c>
      <c r="B393" s="16">
        <v>903</v>
      </c>
      <c r="C393" s="20" t="s">
        <v>260</v>
      </c>
      <c r="D393" s="20" t="s">
        <v>231</v>
      </c>
      <c r="E393" s="20" t="s">
        <v>363</v>
      </c>
      <c r="F393" s="20" t="s">
        <v>150</v>
      </c>
      <c r="G393" s="26">
        <f>669.4-3</f>
        <v>666.4</v>
      </c>
      <c r="H393" s="177"/>
    </row>
    <row r="394" spans="1:11" ht="31.5" hidden="1" x14ac:dyDescent="0.25">
      <c r="A394" s="25" t="s">
        <v>264</v>
      </c>
      <c r="B394" s="16">
        <v>903</v>
      </c>
      <c r="C394" s="20" t="s">
        <v>260</v>
      </c>
      <c r="D394" s="20" t="s">
        <v>231</v>
      </c>
      <c r="E394" s="20" t="s">
        <v>363</v>
      </c>
      <c r="F394" s="20" t="s">
        <v>265</v>
      </c>
      <c r="G394" s="26">
        <f>G395</f>
        <v>0</v>
      </c>
      <c r="H394" s="177"/>
    </row>
    <row r="395" spans="1:11" ht="31.5" hidden="1" x14ac:dyDescent="0.25">
      <c r="A395" s="25" t="s">
        <v>364</v>
      </c>
      <c r="B395" s="16">
        <v>903</v>
      </c>
      <c r="C395" s="20" t="s">
        <v>260</v>
      </c>
      <c r="D395" s="20" t="s">
        <v>231</v>
      </c>
      <c r="E395" s="20" t="s">
        <v>363</v>
      </c>
      <c r="F395" s="20" t="s">
        <v>365</v>
      </c>
      <c r="G395" s="26">
        <v>0</v>
      </c>
      <c r="H395" s="177"/>
    </row>
    <row r="396" spans="1:11" ht="31.5" x14ac:dyDescent="0.25">
      <c r="A396" s="25" t="s">
        <v>366</v>
      </c>
      <c r="B396" s="16">
        <v>903</v>
      </c>
      <c r="C396" s="20" t="s">
        <v>260</v>
      </c>
      <c r="D396" s="20" t="s">
        <v>231</v>
      </c>
      <c r="E396" s="20" t="s">
        <v>367</v>
      </c>
      <c r="F396" s="20"/>
      <c r="G396" s="26">
        <f>G397</f>
        <v>268.60000000000002</v>
      </c>
      <c r="H396" s="177"/>
    </row>
    <row r="397" spans="1:11" ht="47.25" x14ac:dyDescent="0.25">
      <c r="A397" s="25" t="s">
        <v>288</v>
      </c>
      <c r="B397" s="16">
        <v>903</v>
      </c>
      <c r="C397" s="20" t="s">
        <v>260</v>
      </c>
      <c r="D397" s="20" t="s">
        <v>231</v>
      </c>
      <c r="E397" s="20" t="s">
        <v>367</v>
      </c>
      <c r="F397" s="20" t="s">
        <v>289</v>
      </c>
      <c r="G397" s="26">
        <f>G398</f>
        <v>268.60000000000002</v>
      </c>
      <c r="H397" s="177"/>
    </row>
    <row r="398" spans="1:11" ht="15.75" x14ac:dyDescent="0.25">
      <c r="A398" s="25" t="s">
        <v>290</v>
      </c>
      <c r="B398" s="16">
        <v>903</v>
      </c>
      <c r="C398" s="20" t="s">
        <v>260</v>
      </c>
      <c r="D398" s="20" t="s">
        <v>231</v>
      </c>
      <c r="E398" s="20" t="s">
        <v>367</v>
      </c>
      <c r="F398" s="20" t="s">
        <v>291</v>
      </c>
      <c r="G398" s="26">
        <f>160.5+108.1</f>
        <v>268.60000000000002</v>
      </c>
      <c r="H398" s="106"/>
    </row>
    <row r="399" spans="1:11" ht="31.5" x14ac:dyDescent="0.25">
      <c r="A399" s="25" t="s">
        <v>368</v>
      </c>
      <c r="B399" s="16">
        <v>903</v>
      </c>
      <c r="C399" s="20" t="s">
        <v>260</v>
      </c>
      <c r="D399" s="20" t="s">
        <v>231</v>
      </c>
      <c r="E399" s="20" t="s">
        <v>369</v>
      </c>
      <c r="F399" s="20"/>
      <c r="G399" s="26">
        <f>G400</f>
        <v>63</v>
      </c>
      <c r="H399" s="177"/>
    </row>
    <row r="400" spans="1:11" ht="31.5" x14ac:dyDescent="0.25">
      <c r="A400" s="25" t="s">
        <v>173</v>
      </c>
      <c r="B400" s="16">
        <v>903</v>
      </c>
      <c r="C400" s="20" t="s">
        <v>260</v>
      </c>
      <c r="D400" s="20" t="s">
        <v>231</v>
      </c>
      <c r="E400" s="20" t="s">
        <v>370</v>
      </c>
      <c r="F400" s="20"/>
      <c r="G400" s="26">
        <f>G401</f>
        <v>63</v>
      </c>
      <c r="H400" s="177"/>
    </row>
    <row r="401" spans="1:8" ht="31.5" x14ac:dyDescent="0.25">
      <c r="A401" s="25" t="s">
        <v>264</v>
      </c>
      <c r="B401" s="16">
        <v>903</v>
      </c>
      <c r="C401" s="20" t="s">
        <v>260</v>
      </c>
      <c r="D401" s="20" t="s">
        <v>231</v>
      </c>
      <c r="E401" s="20" t="s">
        <v>370</v>
      </c>
      <c r="F401" s="20" t="s">
        <v>265</v>
      </c>
      <c r="G401" s="26">
        <f>G402</f>
        <v>63</v>
      </c>
      <c r="H401" s="177"/>
    </row>
    <row r="402" spans="1:8" ht="31.5" x14ac:dyDescent="0.25">
      <c r="A402" s="25" t="s">
        <v>266</v>
      </c>
      <c r="B402" s="16">
        <v>903</v>
      </c>
      <c r="C402" s="20" t="s">
        <v>260</v>
      </c>
      <c r="D402" s="20" t="s">
        <v>231</v>
      </c>
      <c r="E402" s="20" t="s">
        <v>370</v>
      </c>
      <c r="F402" s="20" t="s">
        <v>267</v>
      </c>
      <c r="G402" s="26">
        <f>60+3</f>
        <v>63</v>
      </c>
      <c r="H402" s="177"/>
    </row>
    <row r="403" spans="1:8" ht="31.5" x14ac:dyDescent="0.25">
      <c r="A403" s="25" t="s">
        <v>371</v>
      </c>
      <c r="B403" s="16">
        <v>903</v>
      </c>
      <c r="C403" s="16">
        <v>10</v>
      </c>
      <c r="D403" s="20" t="s">
        <v>231</v>
      </c>
      <c r="E403" s="20" t="s">
        <v>372</v>
      </c>
      <c r="F403" s="20"/>
      <c r="G403" s="26">
        <f>G404</f>
        <v>420</v>
      </c>
      <c r="H403" s="177"/>
    </row>
    <row r="404" spans="1:8" ht="31.5" x14ac:dyDescent="0.25">
      <c r="A404" s="25" t="s">
        <v>173</v>
      </c>
      <c r="B404" s="16">
        <v>903</v>
      </c>
      <c r="C404" s="20" t="s">
        <v>260</v>
      </c>
      <c r="D404" s="20" t="s">
        <v>231</v>
      </c>
      <c r="E404" s="20" t="s">
        <v>373</v>
      </c>
      <c r="F404" s="20"/>
      <c r="G404" s="26">
        <f>G405</f>
        <v>420</v>
      </c>
      <c r="H404" s="177"/>
    </row>
    <row r="405" spans="1:8" ht="31.5" x14ac:dyDescent="0.25">
      <c r="A405" s="25" t="s">
        <v>264</v>
      </c>
      <c r="B405" s="16">
        <v>903</v>
      </c>
      <c r="C405" s="20" t="s">
        <v>260</v>
      </c>
      <c r="D405" s="20" t="s">
        <v>231</v>
      </c>
      <c r="E405" s="20" t="s">
        <v>373</v>
      </c>
      <c r="F405" s="20" t="s">
        <v>265</v>
      </c>
      <c r="G405" s="26">
        <f>G406</f>
        <v>420</v>
      </c>
      <c r="H405" s="177"/>
    </row>
    <row r="406" spans="1:8" ht="31.5" x14ac:dyDescent="0.25">
      <c r="A406" s="25" t="s">
        <v>364</v>
      </c>
      <c r="B406" s="16">
        <v>903</v>
      </c>
      <c r="C406" s="20" t="s">
        <v>260</v>
      </c>
      <c r="D406" s="20" t="s">
        <v>231</v>
      </c>
      <c r="E406" s="20" t="s">
        <v>373</v>
      </c>
      <c r="F406" s="20" t="s">
        <v>365</v>
      </c>
      <c r="G406" s="26">
        <v>420</v>
      </c>
      <c r="H406" s="177"/>
    </row>
    <row r="407" spans="1:8" ht="15.75" x14ac:dyDescent="0.25">
      <c r="A407" s="25" t="s">
        <v>374</v>
      </c>
      <c r="B407" s="16">
        <v>903</v>
      </c>
      <c r="C407" s="16">
        <v>10</v>
      </c>
      <c r="D407" s="20" t="s">
        <v>231</v>
      </c>
      <c r="E407" s="20" t="s">
        <v>375</v>
      </c>
      <c r="F407" s="20"/>
      <c r="G407" s="26">
        <f>G408</f>
        <v>1595</v>
      </c>
      <c r="H407" s="177"/>
    </row>
    <row r="408" spans="1:8" ht="31.5" x14ac:dyDescent="0.25">
      <c r="A408" s="25" t="s">
        <v>173</v>
      </c>
      <c r="B408" s="16">
        <v>903</v>
      </c>
      <c r="C408" s="20" t="s">
        <v>260</v>
      </c>
      <c r="D408" s="20" t="s">
        <v>231</v>
      </c>
      <c r="E408" s="20" t="s">
        <v>376</v>
      </c>
      <c r="F408" s="20"/>
      <c r="G408" s="26">
        <f>G409+G411</f>
        <v>1595</v>
      </c>
      <c r="H408" s="177"/>
    </row>
    <row r="409" spans="1:8" ht="31.5" x14ac:dyDescent="0.25">
      <c r="A409" s="25" t="s">
        <v>147</v>
      </c>
      <c r="B409" s="16">
        <v>903</v>
      </c>
      <c r="C409" s="20" t="s">
        <v>260</v>
      </c>
      <c r="D409" s="20" t="s">
        <v>231</v>
      </c>
      <c r="E409" s="20" t="s">
        <v>376</v>
      </c>
      <c r="F409" s="20" t="s">
        <v>148</v>
      </c>
      <c r="G409" s="26">
        <f>G410</f>
        <v>547</v>
      </c>
      <c r="H409" s="177"/>
    </row>
    <row r="410" spans="1:8" ht="47.25" x14ac:dyDescent="0.25">
      <c r="A410" s="25" t="s">
        <v>149</v>
      </c>
      <c r="B410" s="16">
        <v>903</v>
      </c>
      <c r="C410" s="20" t="s">
        <v>260</v>
      </c>
      <c r="D410" s="20" t="s">
        <v>231</v>
      </c>
      <c r="E410" s="20" t="s">
        <v>376</v>
      </c>
      <c r="F410" s="20" t="s">
        <v>150</v>
      </c>
      <c r="G410" s="162">
        <f>552-50+45</f>
        <v>547</v>
      </c>
      <c r="H410" s="157" t="s">
        <v>771</v>
      </c>
    </row>
    <row r="411" spans="1:8" ht="31.5" x14ac:dyDescent="0.25">
      <c r="A411" s="25" t="s">
        <v>264</v>
      </c>
      <c r="B411" s="16">
        <v>903</v>
      </c>
      <c r="C411" s="20" t="s">
        <v>260</v>
      </c>
      <c r="D411" s="20" t="s">
        <v>231</v>
      </c>
      <c r="E411" s="20" t="s">
        <v>376</v>
      </c>
      <c r="F411" s="20" t="s">
        <v>265</v>
      </c>
      <c r="G411" s="26">
        <f>G412</f>
        <v>1048</v>
      </c>
      <c r="H411" s="177"/>
    </row>
    <row r="412" spans="1:8" ht="31.5" x14ac:dyDescent="0.25">
      <c r="A412" s="25" t="s">
        <v>364</v>
      </c>
      <c r="B412" s="16">
        <v>903</v>
      </c>
      <c r="C412" s="20" t="s">
        <v>260</v>
      </c>
      <c r="D412" s="20" t="s">
        <v>231</v>
      </c>
      <c r="E412" s="20" t="s">
        <v>376</v>
      </c>
      <c r="F412" s="20" t="s">
        <v>365</v>
      </c>
      <c r="G412" s="26">
        <v>1048</v>
      </c>
      <c r="H412" s="177"/>
    </row>
    <row r="413" spans="1:8" ht="47.25" x14ac:dyDescent="0.25">
      <c r="A413" s="25" t="s">
        <v>377</v>
      </c>
      <c r="B413" s="16">
        <v>903</v>
      </c>
      <c r="C413" s="20" t="s">
        <v>260</v>
      </c>
      <c r="D413" s="20" t="s">
        <v>231</v>
      </c>
      <c r="E413" s="20" t="s">
        <v>378</v>
      </c>
      <c r="F413" s="20"/>
      <c r="G413" s="26">
        <f>G414</f>
        <v>335</v>
      </c>
      <c r="H413" s="177"/>
    </row>
    <row r="414" spans="1:8" ht="31.5" x14ac:dyDescent="0.25">
      <c r="A414" s="25" t="s">
        <v>173</v>
      </c>
      <c r="B414" s="16">
        <v>903</v>
      </c>
      <c r="C414" s="20" t="s">
        <v>260</v>
      </c>
      <c r="D414" s="20" t="s">
        <v>231</v>
      </c>
      <c r="E414" s="20" t="s">
        <v>379</v>
      </c>
      <c r="F414" s="20"/>
      <c r="G414" s="26">
        <f>G415</f>
        <v>335</v>
      </c>
      <c r="H414" s="177"/>
    </row>
    <row r="415" spans="1:8" ht="31.5" x14ac:dyDescent="0.25">
      <c r="A415" s="25" t="s">
        <v>264</v>
      </c>
      <c r="B415" s="16">
        <v>903</v>
      </c>
      <c r="C415" s="20" t="s">
        <v>260</v>
      </c>
      <c r="D415" s="20" t="s">
        <v>231</v>
      </c>
      <c r="E415" s="20" t="s">
        <v>379</v>
      </c>
      <c r="F415" s="20" t="s">
        <v>265</v>
      </c>
      <c r="G415" s="26">
        <f>G416</f>
        <v>335</v>
      </c>
      <c r="H415" s="177"/>
    </row>
    <row r="416" spans="1:8" ht="31.5" x14ac:dyDescent="0.25">
      <c r="A416" s="25" t="s">
        <v>364</v>
      </c>
      <c r="B416" s="16">
        <v>903</v>
      </c>
      <c r="C416" s="20" t="s">
        <v>260</v>
      </c>
      <c r="D416" s="20" t="s">
        <v>231</v>
      </c>
      <c r="E416" s="20" t="s">
        <v>379</v>
      </c>
      <c r="F416" s="20" t="s">
        <v>365</v>
      </c>
      <c r="G416" s="26">
        <f>400-65</f>
        <v>335</v>
      </c>
      <c r="H416" s="177"/>
    </row>
    <row r="417" spans="1:8" ht="63" x14ac:dyDescent="0.25">
      <c r="A417" s="25" t="s">
        <v>380</v>
      </c>
      <c r="B417" s="16">
        <v>903</v>
      </c>
      <c r="C417" s="20" t="s">
        <v>260</v>
      </c>
      <c r="D417" s="20" t="s">
        <v>231</v>
      </c>
      <c r="E417" s="20" t="s">
        <v>381</v>
      </c>
      <c r="F417" s="20"/>
      <c r="G417" s="26">
        <f>G418</f>
        <v>210</v>
      </c>
      <c r="H417" s="177"/>
    </row>
    <row r="418" spans="1:8" ht="31.5" x14ac:dyDescent="0.25">
      <c r="A418" s="25" t="s">
        <v>173</v>
      </c>
      <c r="B418" s="16">
        <v>903</v>
      </c>
      <c r="C418" s="20" t="s">
        <v>260</v>
      </c>
      <c r="D418" s="20" t="s">
        <v>231</v>
      </c>
      <c r="E418" s="20" t="s">
        <v>382</v>
      </c>
      <c r="F418" s="20"/>
      <c r="G418" s="26">
        <f>G419</f>
        <v>210</v>
      </c>
      <c r="H418" s="177"/>
    </row>
    <row r="419" spans="1:8" ht="31.5" x14ac:dyDescent="0.25">
      <c r="A419" s="25" t="s">
        <v>147</v>
      </c>
      <c r="B419" s="16">
        <v>903</v>
      </c>
      <c r="C419" s="20" t="s">
        <v>260</v>
      </c>
      <c r="D419" s="20" t="s">
        <v>231</v>
      </c>
      <c r="E419" s="20" t="s">
        <v>382</v>
      </c>
      <c r="F419" s="20" t="s">
        <v>148</v>
      </c>
      <c r="G419" s="26">
        <f>G420</f>
        <v>210</v>
      </c>
      <c r="H419" s="177"/>
    </row>
    <row r="420" spans="1:8" ht="47.25" x14ac:dyDescent="0.25">
      <c r="A420" s="25" t="s">
        <v>149</v>
      </c>
      <c r="B420" s="16">
        <v>903</v>
      </c>
      <c r="C420" s="20" t="s">
        <v>260</v>
      </c>
      <c r="D420" s="20" t="s">
        <v>231</v>
      </c>
      <c r="E420" s="20" t="s">
        <v>382</v>
      </c>
      <c r="F420" s="20" t="s">
        <v>150</v>
      </c>
      <c r="G420" s="26">
        <f>150+60</f>
        <v>210</v>
      </c>
      <c r="H420" s="177"/>
    </row>
    <row r="421" spans="1:8" ht="63" x14ac:dyDescent="0.25">
      <c r="A421" s="25" t="s">
        <v>383</v>
      </c>
      <c r="B421" s="16">
        <v>903</v>
      </c>
      <c r="C421" s="20" t="s">
        <v>260</v>
      </c>
      <c r="D421" s="20" t="s">
        <v>231</v>
      </c>
      <c r="E421" s="20" t="s">
        <v>384</v>
      </c>
      <c r="F421" s="20"/>
      <c r="G421" s="26">
        <f>G422+G434+G428+G431</f>
        <v>30</v>
      </c>
      <c r="H421" s="177"/>
    </row>
    <row r="422" spans="1:8" ht="47.25" customHeight="1" x14ac:dyDescent="0.25">
      <c r="A422" s="25" t="s">
        <v>385</v>
      </c>
      <c r="B422" s="16">
        <v>903</v>
      </c>
      <c r="C422" s="20" t="s">
        <v>260</v>
      </c>
      <c r="D422" s="20" t="s">
        <v>231</v>
      </c>
      <c r="E422" s="20" t="s">
        <v>386</v>
      </c>
      <c r="F422" s="20"/>
      <c r="G422" s="26">
        <f>G423</f>
        <v>20</v>
      </c>
      <c r="H422" s="177"/>
    </row>
    <row r="423" spans="1:8" ht="47.25" x14ac:dyDescent="0.25">
      <c r="A423" s="25" t="s">
        <v>288</v>
      </c>
      <c r="B423" s="16">
        <v>903</v>
      </c>
      <c r="C423" s="20" t="s">
        <v>260</v>
      </c>
      <c r="D423" s="20" t="s">
        <v>231</v>
      </c>
      <c r="E423" s="20" t="s">
        <v>386</v>
      </c>
      <c r="F423" s="20" t="s">
        <v>289</v>
      </c>
      <c r="G423" s="26">
        <f>G424</f>
        <v>20</v>
      </c>
      <c r="H423" s="177"/>
    </row>
    <row r="424" spans="1:8" ht="63" x14ac:dyDescent="0.25">
      <c r="A424" s="39" t="s">
        <v>387</v>
      </c>
      <c r="B424" s="16">
        <v>903</v>
      </c>
      <c r="C424" s="20" t="s">
        <v>260</v>
      </c>
      <c r="D424" s="20" t="s">
        <v>231</v>
      </c>
      <c r="E424" s="20" t="s">
        <v>386</v>
      </c>
      <c r="F424" s="20" t="s">
        <v>388</v>
      </c>
      <c r="G424" s="26">
        <f>30-10</f>
        <v>20</v>
      </c>
      <c r="H424" s="106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8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8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8"/>
    </row>
    <row r="428" spans="1:8" ht="126" hidden="1" x14ac:dyDescent="0.25">
      <c r="A428" s="25" t="s">
        <v>389</v>
      </c>
      <c r="B428" s="16">
        <v>903</v>
      </c>
      <c r="C428" s="20" t="s">
        <v>260</v>
      </c>
      <c r="D428" s="20" t="s">
        <v>231</v>
      </c>
      <c r="E428" s="20" t="s">
        <v>390</v>
      </c>
      <c r="F428" s="20"/>
      <c r="G428" s="26">
        <f>G429</f>
        <v>0</v>
      </c>
      <c r="H428" s="177"/>
    </row>
    <row r="429" spans="1:8" ht="15.75" hidden="1" x14ac:dyDescent="0.25">
      <c r="A429" s="25" t="s">
        <v>151</v>
      </c>
      <c r="B429" s="16">
        <v>903</v>
      </c>
      <c r="C429" s="20" t="s">
        <v>260</v>
      </c>
      <c r="D429" s="20" t="s">
        <v>231</v>
      </c>
      <c r="E429" s="20" t="s">
        <v>390</v>
      </c>
      <c r="F429" s="20" t="s">
        <v>161</v>
      </c>
      <c r="G429" s="26">
        <f>G430</f>
        <v>0</v>
      </c>
      <c r="H429" s="177"/>
    </row>
    <row r="430" spans="1:8" ht="63" hidden="1" x14ac:dyDescent="0.25">
      <c r="A430" s="25" t="s">
        <v>200</v>
      </c>
      <c r="B430" s="16">
        <v>903</v>
      </c>
      <c r="C430" s="20" t="s">
        <v>260</v>
      </c>
      <c r="D430" s="20" t="s">
        <v>231</v>
      </c>
      <c r="E430" s="20" t="s">
        <v>390</v>
      </c>
      <c r="F430" s="20" t="s">
        <v>176</v>
      </c>
      <c r="G430" s="26">
        <v>0</v>
      </c>
      <c r="H430" s="177"/>
    </row>
    <row r="431" spans="1:8" ht="63" x14ac:dyDescent="0.25">
      <c r="A431" s="25" t="s">
        <v>391</v>
      </c>
      <c r="B431" s="16">
        <v>903</v>
      </c>
      <c r="C431" s="20" t="s">
        <v>260</v>
      </c>
      <c r="D431" s="20" t="s">
        <v>231</v>
      </c>
      <c r="E431" s="20" t="s">
        <v>392</v>
      </c>
      <c r="F431" s="20"/>
      <c r="G431" s="26">
        <f>G432</f>
        <v>10</v>
      </c>
      <c r="H431" s="177"/>
    </row>
    <row r="432" spans="1:8" ht="31.5" x14ac:dyDescent="0.25">
      <c r="A432" s="25" t="s">
        <v>264</v>
      </c>
      <c r="B432" s="16">
        <v>903</v>
      </c>
      <c r="C432" s="20" t="s">
        <v>260</v>
      </c>
      <c r="D432" s="20" t="s">
        <v>231</v>
      </c>
      <c r="E432" s="20" t="s">
        <v>392</v>
      </c>
      <c r="F432" s="20" t="s">
        <v>265</v>
      </c>
      <c r="G432" s="26">
        <f>G433</f>
        <v>10</v>
      </c>
      <c r="H432" s="177"/>
    </row>
    <row r="433" spans="1:10" ht="31.5" x14ac:dyDescent="0.25">
      <c r="A433" s="25" t="s">
        <v>266</v>
      </c>
      <c r="B433" s="16">
        <v>903</v>
      </c>
      <c r="C433" s="20" t="s">
        <v>260</v>
      </c>
      <c r="D433" s="20" t="s">
        <v>231</v>
      </c>
      <c r="E433" s="20" t="s">
        <v>392</v>
      </c>
      <c r="F433" s="20" t="s">
        <v>267</v>
      </c>
      <c r="G433" s="26">
        <v>10</v>
      </c>
      <c r="H433" s="106"/>
    </row>
    <row r="434" spans="1:10" ht="31.5" hidden="1" x14ac:dyDescent="0.25">
      <c r="A434" s="25" t="s">
        <v>393</v>
      </c>
      <c r="B434" s="16">
        <v>903</v>
      </c>
      <c r="C434" s="20" t="s">
        <v>260</v>
      </c>
      <c r="D434" s="20" t="s">
        <v>231</v>
      </c>
      <c r="E434" s="20" t="s">
        <v>394</v>
      </c>
      <c r="F434" s="20"/>
      <c r="G434" s="26">
        <f>G435+G437</f>
        <v>0</v>
      </c>
      <c r="H434" s="177"/>
    </row>
    <row r="435" spans="1:10" ht="31.5" hidden="1" x14ac:dyDescent="0.25">
      <c r="A435" s="25" t="s">
        <v>147</v>
      </c>
      <c r="B435" s="16">
        <v>903</v>
      </c>
      <c r="C435" s="20" t="s">
        <v>260</v>
      </c>
      <c r="D435" s="20" t="s">
        <v>231</v>
      </c>
      <c r="E435" s="20" t="s">
        <v>394</v>
      </c>
      <c r="F435" s="20" t="s">
        <v>148</v>
      </c>
      <c r="G435" s="26">
        <f>G436</f>
        <v>0</v>
      </c>
      <c r="H435" s="177"/>
    </row>
    <row r="436" spans="1:10" ht="47.25" hidden="1" x14ac:dyDescent="0.25">
      <c r="A436" s="25" t="s">
        <v>149</v>
      </c>
      <c r="B436" s="16">
        <v>903</v>
      </c>
      <c r="C436" s="20" t="s">
        <v>260</v>
      </c>
      <c r="D436" s="20" t="s">
        <v>231</v>
      </c>
      <c r="E436" s="20" t="s">
        <v>394</v>
      </c>
      <c r="F436" s="20" t="s">
        <v>150</v>
      </c>
      <c r="G436" s="26">
        <v>0</v>
      </c>
      <c r="H436" s="177"/>
    </row>
    <row r="437" spans="1:10" ht="15.75" hidden="1" x14ac:dyDescent="0.25">
      <c r="A437" s="25" t="s">
        <v>151</v>
      </c>
      <c r="B437" s="16">
        <v>903</v>
      </c>
      <c r="C437" s="20" t="s">
        <v>260</v>
      </c>
      <c r="D437" s="20" t="s">
        <v>231</v>
      </c>
      <c r="E437" s="20" t="s">
        <v>395</v>
      </c>
      <c r="F437" s="20" t="s">
        <v>161</v>
      </c>
      <c r="G437" s="26">
        <f>G438</f>
        <v>0</v>
      </c>
      <c r="H437" s="177"/>
    </row>
    <row r="438" spans="1:10" ht="63" hidden="1" x14ac:dyDescent="0.25">
      <c r="A438" s="25" t="s">
        <v>200</v>
      </c>
      <c r="B438" s="16">
        <v>903</v>
      </c>
      <c r="C438" s="20" t="s">
        <v>260</v>
      </c>
      <c r="D438" s="20" t="s">
        <v>231</v>
      </c>
      <c r="E438" s="20" t="s">
        <v>395</v>
      </c>
      <c r="F438" s="20" t="s">
        <v>176</v>
      </c>
      <c r="G438" s="26">
        <v>0</v>
      </c>
      <c r="H438" s="177"/>
    </row>
    <row r="439" spans="1:10" ht="94.5" x14ac:dyDescent="0.25">
      <c r="A439" s="29" t="s">
        <v>396</v>
      </c>
      <c r="B439" s="16">
        <v>903</v>
      </c>
      <c r="C439" s="40" t="s">
        <v>260</v>
      </c>
      <c r="D439" s="40" t="s">
        <v>231</v>
      </c>
      <c r="E439" s="40" t="s">
        <v>397</v>
      </c>
      <c r="F439" s="40"/>
      <c r="G439" s="26">
        <f>G440</f>
        <v>105</v>
      </c>
      <c r="H439" s="177"/>
    </row>
    <row r="440" spans="1:10" ht="31.5" x14ac:dyDescent="0.25">
      <c r="A440" s="29" t="s">
        <v>173</v>
      </c>
      <c r="B440" s="16">
        <v>903</v>
      </c>
      <c r="C440" s="40" t="s">
        <v>260</v>
      </c>
      <c r="D440" s="40" t="s">
        <v>231</v>
      </c>
      <c r="E440" s="40" t="s">
        <v>398</v>
      </c>
      <c r="F440" s="40"/>
      <c r="G440" s="26">
        <f>G441</f>
        <v>105</v>
      </c>
      <c r="H440" s="177"/>
    </row>
    <row r="441" spans="1:10" ht="31.5" x14ac:dyDescent="0.25">
      <c r="A441" s="29" t="s">
        <v>147</v>
      </c>
      <c r="B441" s="16">
        <v>903</v>
      </c>
      <c r="C441" s="40" t="s">
        <v>260</v>
      </c>
      <c r="D441" s="40" t="s">
        <v>231</v>
      </c>
      <c r="E441" s="40" t="s">
        <v>398</v>
      </c>
      <c r="F441" s="40" t="s">
        <v>148</v>
      </c>
      <c r="G441" s="26">
        <f>G442</f>
        <v>105</v>
      </c>
      <c r="H441" s="177"/>
    </row>
    <row r="442" spans="1:10" ht="47.25" x14ac:dyDescent="0.25">
      <c r="A442" s="29" t="s">
        <v>149</v>
      </c>
      <c r="B442" s="16">
        <v>903</v>
      </c>
      <c r="C442" s="40" t="s">
        <v>260</v>
      </c>
      <c r="D442" s="40" t="s">
        <v>231</v>
      </c>
      <c r="E442" s="40" t="s">
        <v>398</v>
      </c>
      <c r="F442" s="40" t="s">
        <v>150</v>
      </c>
      <c r="G442" s="26">
        <f>50+55</f>
        <v>105</v>
      </c>
      <c r="H442" s="177"/>
    </row>
    <row r="443" spans="1:10" ht="15.75" x14ac:dyDescent="0.25">
      <c r="A443" s="25" t="s">
        <v>137</v>
      </c>
      <c r="B443" s="16">
        <v>903</v>
      </c>
      <c r="C443" s="20" t="s">
        <v>260</v>
      </c>
      <c r="D443" s="20" t="s">
        <v>231</v>
      </c>
      <c r="E443" s="20" t="s">
        <v>138</v>
      </c>
      <c r="F443" s="20"/>
      <c r="G443" s="26">
        <f>G444+G455</f>
        <v>932</v>
      </c>
      <c r="H443" s="177"/>
    </row>
    <row r="444" spans="1:10" ht="31.5" x14ac:dyDescent="0.25">
      <c r="A444" s="25" t="s">
        <v>201</v>
      </c>
      <c r="B444" s="16">
        <v>903</v>
      </c>
      <c r="C444" s="20" t="s">
        <v>260</v>
      </c>
      <c r="D444" s="20" t="s">
        <v>231</v>
      </c>
      <c r="E444" s="20" t="s">
        <v>202</v>
      </c>
      <c r="F444" s="20"/>
      <c r="G444" s="26">
        <f>G451+G445+G448</f>
        <v>932</v>
      </c>
      <c r="H444" s="177"/>
    </row>
    <row r="445" spans="1:10" ht="15.75" x14ac:dyDescent="0.25">
      <c r="A445" s="25" t="s">
        <v>399</v>
      </c>
      <c r="B445" s="16">
        <v>903</v>
      </c>
      <c r="C445" s="20" t="s">
        <v>260</v>
      </c>
      <c r="D445" s="20" t="s">
        <v>231</v>
      </c>
      <c r="E445" s="20" t="s">
        <v>400</v>
      </c>
      <c r="F445" s="20"/>
      <c r="G445" s="26">
        <f>G446</f>
        <v>372.6</v>
      </c>
      <c r="H445" s="177"/>
    </row>
    <row r="446" spans="1:10" ht="31.5" x14ac:dyDescent="0.25">
      <c r="A446" s="25" t="s">
        <v>264</v>
      </c>
      <c r="B446" s="16">
        <v>903</v>
      </c>
      <c r="C446" s="20" t="s">
        <v>260</v>
      </c>
      <c r="D446" s="20" t="s">
        <v>231</v>
      </c>
      <c r="E446" s="20" t="s">
        <v>400</v>
      </c>
      <c r="F446" s="20" t="s">
        <v>265</v>
      </c>
      <c r="G446" s="26">
        <f>G447</f>
        <v>372.6</v>
      </c>
      <c r="H446" s="177"/>
    </row>
    <row r="447" spans="1:10" ht="31.5" x14ac:dyDescent="0.25">
      <c r="A447" s="25" t="s">
        <v>266</v>
      </c>
      <c r="B447" s="16">
        <v>903</v>
      </c>
      <c r="C447" s="20" t="s">
        <v>260</v>
      </c>
      <c r="D447" s="20" t="s">
        <v>231</v>
      </c>
      <c r="E447" s="20" t="s">
        <v>400</v>
      </c>
      <c r="F447" s="20" t="s">
        <v>267</v>
      </c>
      <c r="G447" s="26">
        <v>372.6</v>
      </c>
      <c r="H447" s="106"/>
      <c r="I447" s="124"/>
    </row>
    <row r="448" spans="1:10" ht="63" x14ac:dyDescent="0.25">
      <c r="A448" s="25" t="s">
        <v>391</v>
      </c>
      <c r="B448" s="16">
        <v>903</v>
      </c>
      <c r="C448" s="20" t="s">
        <v>260</v>
      </c>
      <c r="D448" s="20" t="s">
        <v>231</v>
      </c>
      <c r="E448" s="20" t="s">
        <v>401</v>
      </c>
      <c r="F448" s="20"/>
      <c r="G448" s="26">
        <f>G449</f>
        <v>500</v>
      </c>
      <c r="H448" s="177"/>
      <c r="J448" s="109"/>
    </row>
    <row r="449" spans="1:10" ht="31.5" x14ac:dyDescent="0.25">
      <c r="A449" s="25" t="s">
        <v>264</v>
      </c>
      <c r="B449" s="16">
        <v>903</v>
      </c>
      <c r="C449" s="20" t="s">
        <v>260</v>
      </c>
      <c r="D449" s="20" t="s">
        <v>231</v>
      </c>
      <c r="E449" s="20" t="s">
        <v>401</v>
      </c>
      <c r="F449" s="20" t="s">
        <v>265</v>
      </c>
      <c r="G449" s="26">
        <f>G450</f>
        <v>500</v>
      </c>
      <c r="H449" s="177"/>
      <c r="J449" s="109"/>
    </row>
    <row r="450" spans="1:10" ht="31.5" x14ac:dyDescent="0.25">
      <c r="A450" s="25" t="s">
        <v>266</v>
      </c>
      <c r="B450" s="16">
        <v>903</v>
      </c>
      <c r="C450" s="20" t="s">
        <v>260</v>
      </c>
      <c r="D450" s="20" t="s">
        <v>231</v>
      </c>
      <c r="E450" s="20" t="s">
        <v>401</v>
      </c>
      <c r="F450" s="20" t="s">
        <v>267</v>
      </c>
      <c r="G450" s="26">
        <v>500</v>
      </c>
      <c r="H450" s="106"/>
      <c r="J450" s="109"/>
    </row>
    <row r="451" spans="1:10" ht="54" customHeight="1" x14ac:dyDescent="0.25">
      <c r="A451" s="164" t="s">
        <v>759</v>
      </c>
      <c r="B451" s="16">
        <v>903</v>
      </c>
      <c r="C451" s="20" t="s">
        <v>260</v>
      </c>
      <c r="D451" s="20" t="s">
        <v>231</v>
      </c>
      <c r="E451" s="20" t="s">
        <v>402</v>
      </c>
      <c r="F451" s="20"/>
      <c r="G451" s="26">
        <f>G452</f>
        <v>59.4</v>
      </c>
      <c r="H451" s="177"/>
      <c r="J451" s="109"/>
    </row>
    <row r="452" spans="1:10" ht="31.5" x14ac:dyDescent="0.25">
      <c r="A452" s="25" t="s">
        <v>264</v>
      </c>
      <c r="B452" s="16">
        <v>903</v>
      </c>
      <c r="C452" s="20" t="s">
        <v>260</v>
      </c>
      <c r="D452" s="20" t="s">
        <v>231</v>
      </c>
      <c r="E452" s="20" t="s">
        <v>402</v>
      </c>
      <c r="F452" s="20" t="s">
        <v>265</v>
      </c>
      <c r="G452" s="26">
        <f>G453+G454</f>
        <v>59.4</v>
      </c>
      <c r="H452" s="177"/>
      <c r="J452" s="109"/>
    </row>
    <row r="453" spans="1:10" ht="31.5" x14ac:dyDescent="0.25">
      <c r="A453" s="25" t="s">
        <v>364</v>
      </c>
      <c r="B453" s="16">
        <v>903</v>
      </c>
      <c r="C453" s="20" t="s">
        <v>260</v>
      </c>
      <c r="D453" s="20" t="s">
        <v>231</v>
      </c>
      <c r="E453" s="20" t="s">
        <v>402</v>
      </c>
      <c r="F453" s="20" t="s">
        <v>365</v>
      </c>
      <c r="G453" s="162">
        <v>59.4</v>
      </c>
      <c r="H453" s="157" t="s">
        <v>749</v>
      </c>
      <c r="J453" s="109"/>
    </row>
    <row r="454" spans="1:10" ht="31.5" x14ac:dyDescent="0.25">
      <c r="A454" s="25" t="s">
        <v>266</v>
      </c>
      <c r="B454" s="16">
        <v>903</v>
      </c>
      <c r="C454" s="20" t="s">
        <v>260</v>
      </c>
      <c r="D454" s="20" t="s">
        <v>231</v>
      </c>
      <c r="E454" s="20" t="s">
        <v>402</v>
      </c>
      <c r="F454" s="20" t="s">
        <v>267</v>
      </c>
      <c r="G454" s="26"/>
      <c r="H454" s="177"/>
    </row>
    <row r="455" spans="1:10" ht="15.75" x14ac:dyDescent="0.25">
      <c r="A455" s="25" t="s">
        <v>157</v>
      </c>
      <c r="B455" s="16">
        <v>903</v>
      </c>
      <c r="C455" s="20" t="s">
        <v>260</v>
      </c>
      <c r="D455" s="20" t="s">
        <v>231</v>
      </c>
      <c r="E455" s="20" t="s">
        <v>158</v>
      </c>
      <c r="F455" s="20"/>
      <c r="G455" s="26">
        <f>G456</f>
        <v>0</v>
      </c>
      <c r="H455" s="177"/>
    </row>
    <row r="456" spans="1:10" ht="15.75" x14ac:dyDescent="0.25">
      <c r="A456" s="25" t="s">
        <v>217</v>
      </c>
      <c r="B456" s="16">
        <v>903</v>
      </c>
      <c r="C456" s="20" t="s">
        <v>260</v>
      </c>
      <c r="D456" s="20" t="s">
        <v>231</v>
      </c>
      <c r="E456" s="20" t="s">
        <v>218</v>
      </c>
      <c r="F456" s="20"/>
      <c r="G456" s="26">
        <f>G457</f>
        <v>0</v>
      </c>
      <c r="H456" s="177"/>
    </row>
    <row r="457" spans="1:10" ht="31.5" x14ac:dyDescent="0.25">
      <c r="A457" s="25" t="s">
        <v>264</v>
      </c>
      <c r="B457" s="16">
        <v>903</v>
      </c>
      <c r="C457" s="20" t="s">
        <v>260</v>
      </c>
      <c r="D457" s="20" t="s">
        <v>231</v>
      </c>
      <c r="E457" s="20" t="s">
        <v>218</v>
      </c>
      <c r="F457" s="20" t="s">
        <v>265</v>
      </c>
      <c r="G457" s="26">
        <f>G458</f>
        <v>0</v>
      </c>
      <c r="H457" s="177"/>
    </row>
    <row r="458" spans="1:10" ht="31.5" x14ac:dyDescent="0.25">
      <c r="A458" s="25" t="s">
        <v>364</v>
      </c>
      <c r="B458" s="16">
        <v>903</v>
      </c>
      <c r="C458" s="20" t="s">
        <v>260</v>
      </c>
      <c r="D458" s="20" t="s">
        <v>231</v>
      </c>
      <c r="E458" s="20" t="s">
        <v>218</v>
      </c>
      <c r="F458" s="20" t="s">
        <v>365</v>
      </c>
      <c r="G458" s="26">
        <v>0</v>
      </c>
      <c r="H458" s="177"/>
    </row>
    <row r="459" spans="1:10" ht="47.25" x14ac:dyDescent="0.25">
      <c r="A459" s="19" t="s">
        <v>403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7"/>
    </row>
    <row r="460" spans="1:10" ht="15.75" x14ac:dyDescent="0.25">
      <c r="A460" s="23" t="s">
        <v>133</v>
      </c>
      <c r="B460" s="19">
        <v>905</v>
      </c>
      <c r="C460" s="24" t="s">
        <v>134</v>
      </c>
      <c r="D460" s="20"/>
      <c r="E460" s="20"/>
      <c r="F460" s="20"/>
      <c r="G460" s="21">
        <f>G461+G471</f>
        <v>14701.94</v>
      </c>
      <c r="H460" s="177"/>
    </row>
    <row r="461" spans="1:10" ht="78.75" x14ac:dyDescent="0.25">
      <c r="A461" s="23" t="s">
        <v>165</v>
      </c>
      <c r="B461" s="19">
        <v>905</v>
      </c>
      <c r="C461" s="24" t="s">
        <v>134</v>
      </c>
      <c r="D461" s="24" t="s">
        <v>166</v>
      </c>
      <c r="E461" s="24"/>
      <c r="F461" s="24"/>
      <c r="G461" s="21">
        <f>G462</f>
        <v>11089</v>
      </c>
      <c r="H461" s="177"/>
    </row>
    <row r="462" spans="1:10" ht="15.75" x14ac:dyDescent="0.25">
      <c r="A462" s="25" t="s">
        <v>137</v>
      </c>
      <c r="B462" s="16">
        <v>905</v>
      </c>
      <c r="C462" s="20" t="s">
        <v>134</v>
      </c>
      <c r="D462" s="20" t="s">
        <v>166</v>
      </c>
      <c r="E462" s="20" t="s">
        <v>138</v>
      </c>
      <c r="F462" s="20"/>
      <c r="G462" s="26">
        <f>G463</f>
        <v>11089</v>
      </c>
      <c r="H462" s="177"/>
    </row>
    <row r="463" spans="1:10" ht="31.5" x14ac:dyDescent="0.25">
      <c r="A463" s="25" t="s">
        <v>139</v>
      </c>
      <c r="B463" s="16">
        <v>905</v>
      </c>
      <c r="C463" s="20" t="s">
        <v>134</v>
      </c>
      <c r="D463" s="20" t="s">
        <v>166</v>
      </c>
      <c r="E463" s="20" t="s">
        <v>140</v>
      </c>
      <c r="F463" s="20"/>
      <c r="G463" s="26">
        <f>G464</f>
        <v>11089</v>
      </c>
      <c r="H463" s="177"/>
    </row>
    <row r="464" spans="1:10" ht="47.25" x14ac:dyDescent="0.25">
      <c r="A464" s="25" t="s">
        <v>141</v>
      </c>
      <c r="B464" s="16">
        <v>905</v>
      </c>
      <c r="C464" s="20" t="s">
        <v>134</v>
      </c>
      <c r="D464" s="20" t="s">
        <v>166</v>
      </c>
      <c r="E464" s="20" t="s">
        <v>142</v>
      </c>
      <c r="F464" s="20"/>
      <c r="G464" s="26">
        <f>G465+G467+G469</f>
        <v>11089</v>
      </c>
      <c r="H464" s="177"/>
    </row>
    <row r="465" spans="1:9" ht="94.5" x14ac:dyDescent="0.25">
      <c r="A465" s="25" t="s">
        <v>143</v>
      </c>
      <c r="B465" s="16">
        <v>905</v>
      </c>
      <c r="C465" s="20" t="s">
        <v>134</v>
      </c>
      <c r="D465" s="20" t="s">
        <v>166</v>
      </c>
      <c r="E465" s="20" t="s">
        <v>142</v>
      </c>
      <c r="F465" s="20" t="s">
        <v>144</v>
      </c>
      <c r="G465" s="26">
        <f>G466</f>
        <v>10200.700000000001</v>
      </c>
      <c r="H465" s="177"/>
    </row>
    <row r="466" spans="1:9" ht="31.5" x14ac:dyDescent="0.25">
      <c r="A466" s="25" t="s">
        <v>145</v>
      </c>
      <c r="B466" s="16">
        <v>905</v>
      </c>
      <c r="C466" s="20" t="s">
        <v>134</v>
      </c>
      <c r="D466" s="20" t="s">
        <v>166</v>
      </c>
      <c r="E466" s="20" t="s">
        <v>142</v>
      </c>
      <c r="F466" s="20" t="s">
        <v>146</v>
      </c>
      <c r="G466" s="27">
        <v>10200.700000000001</v>
      </c>
      <c r="H466" s="177"/>
    </row>
    <row r="467" spans="1:9" ht="31.5" x14ac:dyDescent="0.25">
      <c r="A467" s="25" t="s">
        <v>147</v>
      </c>
      <c r="B467" s="16">
        <v>905</v>
      </c>
      <c r="C467" s="20" t="s">
        <v>134</v>
      </c>
      <c r="D467" s="20" t="s">
        <v>166</v>
      </c>
      <c r="E467" s="20" t="s">
        <v>142</v>
      </c>
      <c r="F467" s="20" t="s">
        <v>148</v>
      </c>
      <c r="G467" s="26">
        <f>G468</f>
        <v>811.8</v>
      </c>
      <c r="H467" s="177"/>
    </row>
    <row r="468" spans="1:9" ht="47.25" x14ac:dyDescent="0.25">
      <c r="A468" s="25" t="s">
        <v>149</v>
      </c>
      <c r="B468" s="16">
        <v>905</v>
      </c>
      <c r="C468" s="20" t="s">
        <v>134</v>
      </c>
      <c r="D468" s="20" t="s">
        <v>166</v>
      </c>
      <c r="E468" s="20" t="s">
        <v>142</v>
      </c>
      <c r="F468" s="20" t="s">
        <v>150</v>
      </c>
      <c r="G468" s="156">
        <f>885.8-74</f>
        <v>811.8</v>
      </c>
      <c r="H468" s="157" t="s">
        <v>744</v>
      </c>
    </row>
    <row r="469" spans="1:9" ht="15.75" x14ac:dyDescent="0.25">
      <c r="A469" s="25" t="s">
        <v>151</v>
      </c>
      <c r="B469" s="16">
        <v>905</v>
      </c>
      <c r="C469" s="20" t="s">
        <v>134</v>
      </c>
      <c r="D469" s="20" t="s">
        <v>166</v>
      </c>
      <c r="E469" s="20" t="s">
        <v>142</v>
      </c>
      <c r="F469" s="20" t="s">
        <v>161</v>
      </c>
      <c r="G469" s="26">
        <f>G470</f>
        <v>76.5</v>
      </c>
      <c r="H469" s="177"/>
    </row>
    <row r="470" spans="1:9" ht="15.75" x14ac:dyDescent="0.25">
      <c r="A470" s="25" t="s">
        <v>584</v>
      </c>
      <c r="B470" s="16">
        <v>905</v>
      </c>
      <c r="C470" s="20" t="s">
        <v>134</v>
      </c>
      <c r="D470" s="20" t="s">
        <v>166</v>
      </c>
      <c r="E470" s="20" t="s">
        <v>142</v>
      </c>
      <c r="F470" s="20" t="s">
        <v>154</v>
      </c>
      <c r="G470" s="158">
        <f>2.5+74</f>
        <v>76.5</v>
      </c>
      <c r="H470" s="157" t="s">
        <v>745</v>
      </c>
    </row>
    <row r="471" spans="1:9" ht="15.75" x14ac:dyDescent="0.25">
      <c r="A471" s="23" t="s">
        <v>155</v>
      </c>
      <c r="B471" s="19">
        <v>905</v>
      </c>
      <c r="C471" s="24" t="s">
        <v>134</v>
      </c>
      <c r="D471" s="24" t="s">
        <v>156</v>
      </c>
      <c r="E471" s="24"/>
      <c r="F471" s="24"/>
      <c r="G471" s="21">
        <f>G472</f>
        <v>3612.94</v>
      </c>
      <c r="H471" s="177"/>
    </row>
    <row r="472" spans="1:9" ht="15.75" x14ac:dyDescent="0.25">
      <c r="A472" s="25" t="s">
        <v>137</v>
      </c>
      <c r="B472" s="16">
        <v>905</v>
      </c>
      <c r="C472" s="20" t="s">
        <v>134</v>
      </c>
      <c r="D472" s="20" t="s">
        <v>156</v>
      </c>
      <c r="E472" s="20" t="s">
        <v>138</v>
      </c>
      <c r="F472" s="20"/>
      <c r="G472" s="26">
        <f>G473</f>
        <v>3612.94</v>
      </c>
      <c r="H472" s="177"/>
    </row>
    <row r="473" spans="1:9" ht="15.75" x14ac:dyDescent="0.25">
      <c r="A473" s="25" t="s">
        <v>157</v>
      </c>
      <c r="B473" s="16">
        <v>905</v>
      </c>
      <c r="C473" s="20" t="s">
        <v>134</v>
      </c>
      <c r="D473" s="20" t="s">
        <v>156</v>
      </c>
      <c r="E473" s="20" t="s">
        <v>158</v>
      </c>
      <c r="F473" s="20"/>
      <c r="G473" s="26">
        <f>G474</f>
        <v>3612.94</v>
      </c>
      <c r="H473" s="177"/>
    </row>
    <row r="474" spans="1:9" ht="47.25" x14ac:dyDescent="0.25">
      <c r="A474" s="25" t="s">
        <v>404</v>
      </c>
      <c r="B474" s="16">
        <v>905</v>
      </c>
      <c r="C474" s="20" t="s">
        <v>134</v>
      </c>
      <c r="D474" s="20" t="s">
        <v>156</v>
      </c>
      <c r="E474" s="20" t="s">
        <v>405</v>
      </c>
      <c r="F474" s="20"/>
      <c r="G474" s="26">
        <f>G475</f>
        <v>3612.94</v>
      </c>
      <c r="H474" s="177"/>
    </row>
    <row r="475" spans="1:9" ht="31.5" x14ac:dyDescent="0.25">
      <c r="A475" s="25" t="s">
        <v>147</v>
      </c>
      <c r="B475" s="16">
        <v>905</v>
      </c>
      <c r="C475" s="20" t="s">
        <v>134</v>
      </c>
      <c r="D475" s="20" t="s">
        <v>156</v>
      </c>
      <c r="E475" s="20" t="s">
        <v>405</v>
      </c>
      <c r="F475" s="20" t="s">
        <v>148</v>
      </c>
      <c r="G475" s="26">
        <f>G476</f>
        <v>3612.94</v>
      </c>
      <c r="H475" s="177"/>
    </row>
    <row r="476" spans="1:9" ht="47.25" x14ac:dyDescent="0.25">
      <c r="A476" s="25" t="s">
        <v>149</v>
      </c>
      <c r="B476" s="16">
        <v>905</v>
      </c>
      <c r="C476" s="20" t="s">
        <v>134</v>
      </c>
      <c r="D476" s="20" t="s">
        <v>156</v>
      </c>
      <c r="E476" s="20" t="s">
        <v>405</v>
      </c>
      <c r="F476" s="20" t="s">
        <v>150</v>
      </c>
      <c r="G476" s="162">
        <f>1961.14+1251.8+400</f>
        <v>3612.94</v>
      </c>
      <c r="H476" s="106" t="s">
        <v>762</v>
      </c>
      <c r="I476" s="124"/>
    </row>
    <row r="477" spans="1:9" ht="15.75" x14ac:dyDescent="0.25">
      <c r="A477" s="41" t="s">
        <v>406</v>
      </c>
      <c r="B477" s="19">
        <v>905</v>
      </c>
      <c r="C477" s="24" t="s">
        <v>250</v>
      </c>
      <c r="D477" s="24"/>
      <c r="E477" s="24"/>
      <c r="F477" s="24"/>
      <c r="G477" s="21">
        <f>G478</f>
        <v>1099.8</v>
      </c>
      <c r="H477" s="177"/>
    </row>
    <row r="478" spans="1:9" ht="15.75" x14ac:dyDescent="0.25">
      <c r="A478" s="41" t="s">
        <v>407</v>
      </c>
      <c r="B478" s="19">
        <v>905</v>
      </c>
      <c r="C478" s="24" t="s">
        <v>250</v>
      </c>
      <c r="D478" s="24" t="s">
        <v>134</v>
      </c>
      <c r="E478" s="24"/>
      <c r="F478" s="24"/>
      <c r="G478" s="26">
        <f>G479</f>
        <v>1099.8</v>
      </c>
      <c r="H478" s="177"/>
    </row>
    <row r="479" spans="1:9" ht="15.75" x14ac:dyDescent="0.25">
      <c r="A479" s="29" t="s">
        <v>137</v>
      </c>
      <c r="B479" s="16">
        <v>905</v>
      </c>
      <c r="C479" s="20" t="s">
        <v>250</v>
      </c>
      <c r="D479" s="20" t="s">
        <v>134</v>
      </c>
      <c r="E479" s="20" t="s">
        <v>138</v>
      </c>
      <c r="F479" s="20"/>
      <c r="G479" s="26">
        <f>G485+G480</f>
        <v>1099.8</v>
      </c>
      <c r="H479" s="177"/>
    </row>
    <row r="480" spans="1:9" ht="31.5" hidden="1" x14ac:dyDescent="0.25">
      <c r="A480" s="25" t="s">
        <v>201</v>
      </c>
      <c r="B480" s="37">
        <v>905</v>
      </c>
      <c r="C480" s="20" t="s">
        <v>250</v>
      </c>
      <c r="D480" s="20" t="s">
        <v>134</v>
      </c>
      <c r="E480" s="20" t="s">
        <v>202</v>
      </c>
      <c r="F480" s="20"/>
      <c r="G480" s="26">
        <f>G481</f>
        <v>0</v>
      </c>
      <c r="H480" s="177"/>
    </row>
    <row r="481" spans="1:9" ht="47.25" hidden="1" x14ac:dyDescent="0.25">
      <c r="A481" s="36" t="s">
        <v>408</v>
      </c>
      <c r="B481" s="37">
        <v>905</v>
      </c>
      <c r="C481" s="20" t="s">
        <v>250</v>
      </c>
      <c r="D481" s="20" t="s">
        <v>134</v>
      </c>
      <c r="E481" s="20" t="s">
        <v>409</v>
      </c>
      <c r="F481" s="20"/>
      <c r="G481" s="26">
        <f>G482</f>
        <v>0</v>
      </c>
      <c r="H481" s="177"/>
    </row>
    <row r="482" spans="1:9" ht="31.5" hidden="1" x14ac:dyDescent="0.25">
      <c r="A482" s="42" t="s">
        <v>410</v>
      </c>
      <c r="B482" s="37">
        <v>905</v>
      </c>
      <c r="C482" s="20" t="s">
        <v>250</v>
      </c>
      <c r="D482" s="20" t="s">
        <v>134</v>
      </c>
      <c r="E482" s="20" t="s">
        <v>411</v>
      </c>
      <c r="F482" s="20"/>
      <c r="G482" s="26">
        <f>G483</f>
        <v>0</v>
      </c>
      <c r="H482" s="177"/>
    </row>
    <row r="483" spans="1:9" ht="31.5" hidden="1" x14ac:dyDescent="0.25">
      <c r="A483" s="25" t="s">
        <v>147</v>
      </c>
      <c r="B483" s="16">
        <v>905</v>
      </c>
      <c r="C483" s="20" t="s">
        <v>250</v>
      </c>
      <c r="D483" s="20" t="s">
        <v>134</v>
      </c>
      <c r="E483" s="20" t="s">
        <v>411</v>
      </c>
      <c r="F483" s="20" t="s">
        <v>148</v>
      </c>
      <c r="G483" s="26">
        <f>G484</f>
        <v>0</v>
      </c>
      <c r="H483" s="177"/>
    </row>
    <row r="484" spans="1:9" ht="47.25" hidden="1" x14ac:dyDescent="0.25">
      <c r="A484" s="25" t="s">
        <v>149</v>
      </c>
      <c r="B484" s="16">
        <v>905</v>
      </c>
      <c r="C484" s="20" t="s">
        <v>250</v>
      </c>
      <c r="D484" s="20" t="s">
        <v>134</v>
      </c>
      <c r="E484" s="20" t="s">
        <v>411</v>
      </c>
      <c r="F484" s="20" t="s">
        <v>150</v>
      </c>
      <c r="G484" s="26"/>
      <c r="H484" s="177"/>
    </row>
    <row r="485" spans="1:9" ht="15.75" x14ac:dyDescent="0.25">
      <c r="A485" s="29" t="s">
        <v>157</v>
      </c>
      <c r="B485" s="16">
        <v>905</v>
      </c>
      <c r="C485" s="20" t="s">
        <v>250</v>
      </c>
      <c r="D485" s="20" t="s">
        <v>134</v>
      </c>
      <c r="E485" s="20" t="s">
        <v>158</v>
      </c>
      <c r="F485" s="20"/>
      <c r="G485" s="26">
        <f>G486+G489</f>
        <v>1099.8</v>
      </c>
      <c r="H485" s="177"/>
    </row>
    <row r="486" spans="1:9" ht="31.5" x14ac:dyDescent="0.25">
      <c r="A486" s="29" t="s">
        <v>414</v>
      </c>
      <c r="B486" s="16">
        <v>905</v>
      </c>
      <c r="C486" s="20" t="s">
        <v>250</v>
      </c>
      <c r="D486" s="20" t="s">
        <v>134</v>
      </c>
      <c r="E486" s="20" t="s">
        <v>415</v>
      </c>
      <c r="F486" s="20"/>
      <c r="G486" s="26">
        <f>G487</f>
        <v>260.8</v>
      </c>
      <c r="H486" s="177"/>
    </row>
    <row r="487" spans="1:9" ht="31.5" x14ac:dyDescent="0.25">
      <c r="A487" s="25" t="s">
        <v>147</v>
      </c>
      <c r="B487" s="16">
        <v>905</v>
      </c>
      <c r="C487" s="20" t="s">
        <v>250</v>
      </c>
      <c r="D487" s="20" t="s">
        <v>134</v>
      </c>
      <c r="E487" s="20" t="s">
        <v>415</v>
      </c>
      <c r="F487" s="20" t="s">
        <v>148</v>
      </c>
      <c r="G487" s="26">
        <f>G488</f>
        <v>260.8</v>
      </c>
      <c r="H487" s="177"/>
    </row>
    <row r="488" spans="1:9" ht="47.25" x14ac:dyDescent="0.25">
      <c r="A488" s="25" t="s">
        <v>149</v>
      </c>
      <c r="B488" s="16">
        <v>905</v>
      </c>
      <c r="C488" s="20" t="s">
        <v>250</v>
      </c>
      <c r="D488" s="20" t="s">
        <v>134</v>
      </c>
      <c r="E488" s="20" t="s">
        <v>415</v>
      </c>
      <c r="F488" s="20" t="s">
        <v>150</v>
      </c>
      <c r="G488" s="26">
        <v>260.8</v>
      </c>
      <c r="H488" s="177"/>
    </row>
    <row r="489" spans="1:9" ht="15.75" x14ac:dyDescent="0.25">
      <c r="A489" s="29" t="s">
        <v>412</v>
      </c>
      <c r="B489" s="16">
        <v>905</v>
      </c>
      <c r="C489" s="20" t="s">
        <v>250</v>
      </c>
      <c r="D489" s="20" t="s">
        <v>134</v>
      </c>
      <c r="E489" s="20" t="s">
        <v>413</v>
      </c>
      <c r="F489" s="20"/>
      <c r="G489" s="26">
        <f>G490</f>
        <v>839</v>
      </c>
      <c r="H489" s="177"/>
    </row>
    <row r="490" spans="1:9" ht="31.5" x14ac:dyDescent="0.25">
      <c r="A490" s="25" t="s">
        <v>147</v>
      </c>
      <c r="B490" s="16">
        <v>905</v>
      </c>
      <c r="C490" s="20" t="s">
        <v>250</v>
      </c>
      <c r="D490" s="20" t="s">
        <v>134</v>
      </c>
      <c r="E490" s="20" t="s">
        <v>413</v>
      </c>
      <c r="F490" s="20" t="s">
        <v>148</v>
      </c>
      <c r="G490" s="26">
        <f>G491</f>
        <v>839</v>
      </c>
      <c r="H490" s="177"/>
    </row>
    <row r="491" spans="1:9" ht="47.25" x14ac:dyDescent="0.25">
      <c r="A491" s="25" t="s">
        <v>149</v>
      </c>
      <c r="B491" s="16">
        <v>905</v>
      </c>
      <c r="C491" s="20" t="s">
        <v>250</v>
      </c>
      <c r="D491" s="20" t="s">
        <v>134</v>
      </c>
      <c r="E491" s="20" t="s">
        <v>413</v>
      </c>
      <c r="F491" s="20" t="s">
        <v>150</v>
      </c>
      <c r="G491" s="26">
        <v>839</v>
      </c>
      <c r="H491" s="177"/>
      <c r="I491" s="115"/>
    </row>
    <row r="492" spans="1:9" ht="15.75" hidden="1" x14ac:dyDescent="0.25">
      <c r="A492" s="43" t="s">
        <v>259</v>
      </c>
      <c r="B492" s="19">
        <v>905</v>
      </c>
      <c r="C492" s="24" t="s">
        <v>260</v>
      </c>
      <c r="D492" s="24"/>
      <c r="E492" s="24"/>
      <c r="F492" s="24"/>
      <c r="G492" s="21">
        <f>G493</f>
        <v>0</v>
      </c>
      <c r="H492" s="177"/>
    </row>
    <row r="493" spans="1:9" ht="15.75" hidden="1" x14ac:dyDescent="0.25">
      <c r="A493" s="23" t="s">
        <v>416</v>
      </c>
      <c r="B493" s="19">
        <v>905</v>
      </c>
      <c r="C493" s="24" t="s">
        <v>260</v>
      </c>
      <c r="D493" s="24" t="s">
        <v>166</v>
      </c>
      <c r="E493" s="24"/>
      <c r="F493" s="24"/>
      <c r="G493" s="21">
        <f>G494</f>
        <v>0</v>
      </c>
      <c r="H493" s="177"/>
    </row>
    <row r="494" spans="1:9" ht="31.5" hidden="1" x14ac:dyDescent="0.25">
      <c r="A494" s="25" t="s">
        <v>201</v>
      </c>
      <c r="B494" s="16">
        <v>905</v>
      </c>
      <c r="C494" s="20" t="s">
        <v>260</v>
      </c>
      <c r="D494" s="20" t="s">
        <v>166</v>
      </c>
      <c r="E494" s="20" t="s">
        <v>202</v>
      </c>
      <c r="F494" s="20"/>
      <c r="G494" s="26">
        <f>G495</f>
        <v>0</v>
      </c>
      <c r="H494" s="177"/>
    </row>
    <row r="495" spans="1:9" ht="47.25" hidden="1" x14ac:dyDescent="0.25">
      <c r="A495" s="31" t="s">
        <v>417</v>
      </c>
      <c r="B495" s="16">
        <v>905</v>
      </c>
      <c r="C495" s="20" t="s">
        <v>260</v>
      </c>
      <c r="D495" s="20" t="s">
        <v>166</v>
      </c>
      <c r="E495" s="20" t="s">
        <v>418</v>
      </c>
      <c r="F495" s="20"/>
      <c r="G495" s="26">
        <f>G496</f>
        <v>0</v>
      </c>
      <c r="H495" s="177"/>
    </row>
    <row r="496" spans="1:9" ht="31.5" hidden="1" x14ac:dyDescent="0.25">
      <c r="A496" s="25" t="s">
        <v>147</v>
      </c>
      <c r="B496" s="16">
        <v>905</v>
      </c>
      <c r="C496" s="20" t="s">
        <v>260</v>
      </c>
      <c r="D496" s="20" t="s">
        <v>166</v>
      </c>
      <c r="E496" s="20" t="s">
        <v>418</v>
      </c>
      <c r="F496" s="20" t="s">
        <v>148</v>
      </c>
      <c r="G496" s="26">
        <f>G497</f>
        <v>0</v>
      </c>
      <c r="H496" s="177"/>
    </row>
    <row r="497" spans="1:12" ht="47.25" hidden="1" x14ac:dyDescent="0.25">
      <c r="A497" s="25" t="s">
        <v>149</v>
      </c>
      <c r="B497" s="16">
        <v>905</v>
      </c>
      <c r="C497" s="20" t="s">
        <v>260</v>
      </c>
      <c r="D497" s="20" t="s">
        <v>166</v>
      </c>
      <c r="E497" s="20" t="s">
        <v>418</v>
      </c>
      <c r="F497" s="20" t="s">
        <v>150</v>
      </c>
      <c r="G497" s="26">
        <f>1330-1330</f>
        <v>0</v>
      </c>
      <c r="H497" s="177"/>
      <c r="I497" s="115"/>
    </row>
    <row r="498" spans="1:12" ht="31.5" x14ac:dyDescent="0.25">
      <c r="A498" s="19" t="s">
        <v>419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7"/>
      <c r="L498" s="116"/>
    </row>
    <row r="499" spans="1:12" ht="15.75" x14ac:dyDescent="0.25">
      <c r="A499" s="23" t="s">
        <v>133</v>
      </c>
      <c r="B499" s="19">
        <v>906</v>
      </c>
      <c r="C499" s="24" t="s">
        <v>134</v>
      </c>
      <c r="D499" s="24"/>
      <c r="E499" s="24"/>
      <c r="F499" s="24"/>
      <c r="G499" s="21">
        <f t="shared" ref="G499:G504" si="2">G500</f>
        <v>5</v>
      </c>
      <c r="H499" s="177"/>
    </row>
    <row r="500" spans="1:12" ht="15.75" x14ac:dyDescent="0.25">
      <c r="A500" s="34" t="s">
        <v>155</v>
      </c>
      <c r="B500" s="19">
        <v>906</v>
      </c>
      <c r="C500" s="24" t="s">
        <v>134</v>
      </c>
      <c r="D500" s="24" t="s">
        <v>156</v>
      </c>
      <c r="E500" s="24"/>
      <c r="F500" s="24"/>
      <c r="G500" s="21">
        <f t="shared" si="2"/>
        <v>5</v>
      </c>
      <c r="H500" s="177"/>
    </row>
    <row r="501" spans="1:12" ht="18" customHeight="1" x14ac:dyDescent="0.25">
      <c r="A501" s="31" t="s">
        <v>137</v>
      </c>
      <c r="B501" s="16">
        <v>906</v>
      </c>
      <c r="C501" s="20" t="s">
        <v>134</v>
      </c>
      <c r="D501" s="20" t="s">
        <v>156</v>
      </c>
      <c r="E501" s="20" t="s">
        <v>138</v>
      </c>
      <c r="F501" s="20"/>
      <c r="G501" s="26">
        <f t="shared" si="2"/>
        <v>5</v>
      </c>
      <c r="H501" s="177"/>
    </row>
    <row r="502" spans="1:12" ht="15.75" x14ac:dyDescent="0.25">
      <c r="A502" s="31" t="s">
        <v>157</v>
      </c>
      <c r="B502" s="16">
        <v>906</v>
      </c>
      <c r="C502" s="20" t="s">
        <v>134</v>
      </c>
      <c r="D502" s="20" t="s">
        <v>156</v>
      </c>
      <c r="E502" s="20" t="s">
        <v>158</v>
      </c>
      <c r="F502" s="20"/>
      <c r="G502" s="26">
        <f t="shared" si="2"/>
        <v>5</v>
      </c>
      <c r="H502" s="177"/>
    </row>
    <row r="503" spans="1:12" ht="15.75" x14ac:dyDescent="0.25">
      <c r="A503" s="25" t="s">
        <v>195</v>
      </c>
      <c r="B503" s="16">
        <v>906</v>
      </c>
      <c r="C503" s="20" t="s">
        <v>134</v>
      </c>
      <c r="D503" s="20" t="s">
        <v>156</v>
      </c>
      <c r="E503" s="20" t="s">
        <v>221</v>
      </c>
      <c r="F503" s="20"/>
      <c r="G503" s="26">
        <f t="shared" si="2"/>
        <v>5</v>
      </c>
      <c r="H503" s="177"/>
    </row>
    <row r="504" spans="1:12" ht="31.5" x14ac:dyDescent="0.25">
      <c r="A504" s="25" t="s">
        <v>147</v>
      </c>
      <c r="B504" s="16">
        <v>906</v>
      </c>
      <c r="C504" s="20" t="s">
        <v>134</v>
      </c>
      <c r="D504" s="20" t="s">
        <v>156</v>
      </c>
      <c r="E504" s="20" t="s">
        <v>221</v>
      </c>
      <c r="F504" s="20" t="s">
        <v>148</v>
      </c>
      <c r="G504" s="26">
        <f t="shared" si="2"/>
        <v>5</v>
      </c>
      <c r="H504" s="177"/>
    </row>
    <row r="505" spans="1:12" ht="47.25" x14ac:dyDescent="0.25">
      <c r="A505" s="25" t="s">
        <v>149</v>
      </c>
      <c r="B505" s="16">
        <v>906</v>
      </c>
      <c r="C505" s="20" t="s">
        <v>134</v>
      </c>
      <c r="D505" s="20" t="s">
        <v>156</v>
      </c>
      <c r="E505" s="20" t="s">
        <v>221</v>
      </c>
      <c r="F505" s="20" t="s">
        <v>150</v>
      </c>
      <c r="G505" s="26">
        <v>5</v>
      </c>
      <c r="H505" s="177"/>
    </row>
    <row r="506" spans="1:12" ht="15.75" x14ac:dyDescent="0.25">
      <c r="A506" s="23" t="s">
        <v>279</v>
      </c>
      <c r="B506" s="19">
        <v>906</v>
      </c>
      <c r="C506" s="24" t="s">
        <v>280</v>
      </c>
      <c r="D506" s="24"/>
      <c r="E506" s="24"/>
      <c r="F506" s="24"/>
      <c r="G506" s="21">
        <f>G507+G546+G633+G645+G612</f>
        <v>261516.80000000002</v>
      </c>
      <c r="H506" s="177"/>
    </row>
    <row r="507" spans="1:12" ht="15.75" x14ac:dyDescent="0.25">
      <c r="A507" s="23" t="s">
        <v>420</v>
      </c>
      <c r="B507" s="19">
        <v>906</v>
      </c>
      <c r="C507" s="24" t="s">
        <v>280</v>
      </c>
      <c r="D507" s="24" t="s">
        <v>134</v>
      </c>
      <c r="E507" s="24"/>
      <c r="F507" s="24"/>
      <c r="G507" s="21">
        <f>G508+G526</f>
        <v>84659.4</v>
      </c>
      <c r="H507" s="177"/>
    </row>
    <row r="508" spans="1:12" ht="47.25" x14ac:dyDescent="0.25">
      <c r="A508" s="25" t="s">
        <v>421</v>
      </c>
      <c r="B508" s="16">
        <v>906</v>
      </c>
      <c r="C508" s="20" t="s">
        <v>280</v>
      </c>
      <c r="D508" s="20" t="s">
        <v>134</v>
      </c>
      <c r="E508" s="20" t="s">
        <v>422</v>
      </c>
      <c r="F508" s="20"/>
      <c r="G508" s="26">
        <f>G509+G513</f>
        <v>23453.4</v>
      </c>
      <c r="H508" s="177"/>
    </row>
    <row r="509" spans="1:12" ht="47.25" x14ac:dyDescent="0.25">
      <c r="A509" s="25" t="s">
        <v>423</v>
      </c>
      <c r="B509" s="16">
        <v>906</v>
      </c>
      <c r="C509" s="20" t="s">
        <v>280</v>
      </c>
      <c r="D509" s="20" t="s">
        <v>134</v>
      </c>
      <c r="E509" s="20" t="s">
        <v>424</v>
      </c>
      <c r="F509" s="20"/>
      <c r="G509" s="26">
        <f>G510</f>
        <v>15578.400000000001</v>
      </c>
      <c r="H509" s="177"/>
    </row>
    <row r="510" spans="1:12" ht="47.25" x14ac:dyDescent="0.25">
      <c r="A510" s="25" t="s">
        <v>425</v>
      </c>
      <c r="B510" s="16">
        <v>906</v>
      </c>
      <c r="C510" s="20" t="s">
        <v>280</v>
      </c>
      <c r="D510" s="20" t="s">
        <v>134</v>
      </c>
      <c r="E510" s="20" t="s">
        <v>426</v>
      </c>
      <c r="F510" s="20"/>
      <c r="G510" s="26">
        <f>G511</f>
        <v>15578.400000000001</v>
      </c>
      <c r="H510" s="177"/>
    </row>
    <row r="511" spans="1:12" ht="47.25" x14ac:dyDescent="0.25">
      <c r="A511" s="25" t="s">
        <v>288</v>
      </c>
      <c r="B511" s="16">
        <v>906</v>
      </c>
      <c r="C511" s="20" t="s">
        <v>280</v>
      </c>
      <c r="D511" s="20" t="s">
        <v>134</v>
      </c>
      <c r="E511" s="20" t="s">
        <v>426</v>
      </c>
      <c r="F511" s="20" t="s">
        <v>289</v>
      </c>
      <c r="G511" s="26">
        <f>G512</f>
        <v>15578.400000000001</v>
      </c>
      <c r="H511" s="177"/>
    </row>
    <row r="512" spans="1:12" ht="15.75" x14ac:dyDescent="0.25">
      <c r="A512" s="25" t="s">
        <v>290</v>
      </c>
      <c r="B512" s="16">
        <v>906</v>
      </c>
      <c r="C512" s="20" t="s">
        <v>280</v>
      </c>
      <c r="D512" s="20" t="s">
        <v>134</v>
      </c>
      <c r="E512" s="20" t="s">
        <v>426</v>
      </c>
      <c r="F512" s="20" t="s">
        <v>291</v>
      </c>
      <c r="G512" s="27">
        <f>17368.2+6858.7-6314-1360.2-974.3</f>
        <v>15578.400000000001</v>
      </c>
      <c r="H512" s="179"/>
      <c r="I512" s="125"/>
    </row>
    <row r="513" spans="1:8" ht="47.25" x14ac:dyDescent="0.25">
      <c r="A513" s="25" t="s">
        <v>427</v>
      </c>
      <c r="B513" s="16">
        <v>906</v>
      </c>
      <c r="C513" s="20" t="s">
        <v>280</v>
      </c>
      <c r="D513" s="20" t="s">
        <v>134</v>
      </c>
      <c r="E513" s="20" t="s">
        <v>428</v>
      </c>
      <c r="F513" s="20"/>
      <c r="G513" s="26">
        <f>G514+G517+G520+G523</f>
        <v>7875</v>
      </c>
      <c r="H513" s="177"/>
    </row>
    <row r="514" spans="1:8" ht="47.25" hidden="1" x14ac:dyDescent="0.25">
      <c r="A514" s="25" t="s">
        <v>294</v>
      </c>
      <c r="B514" s="16">
        <v>906</v>
      </c>
      <c r="C514" s="20" t="s">
        <v>280</v>
      </c>
      <c r="D514" s="20" t="s">
        <v>134</v>
      </c>
      <c r="E514" s="20" t="s">
        <v>429</v>
      </c>
      <c r="F514" s="20"/>
      <c r="G514" s="26">
        <f>G515</f>
        <v>0</v>
      </c>
      <c r="H514" s="177"/>
    </row>
    <row r="515" spans="1:8" ht="47.25" hidden="1" x14ac:dyDescent="0.25">
      <c r="A515" s="25" t="s">
        <v>288</v>
      </c>
      <c r="B515" s="16">
        <v>906</v>
      </c>
      <c r="C515" s="20" t="s">
        <v>280</v>
      </c>
      <c r="D515" s="20" t="s">
        <v>134</v>
      </c>
      <c r="E515" s="20" t="s">
        <v>429</v>
      </c>
      <c r="F515" s="20" t="s">
        <v>289</v>
      </c>
      <c r="G515" s="26">
        <f>G516</f>
        <v>0</v>
      </c>
      <c r="H515" s="177"/>
    </row>
    <row r="516" spans="1:8" ht="15.75" hidden="1" x14ac:dyDescent="0.25">
      <c r="A516" s="25" t="s">
        <v>290</v>
      </c>
      <c r="B516" s="16">
        <v>906</v>
      </c>
      <c r="C516" s="20" t="s">
        <v>280</v>
      </c>
      <c r="D516" s="20" t="s">
        <v>134</v>
      </c>
      <c r="E516" s="20" t="s">
        <v>429</v>
      </c>
      <c r="F516" s="20" t="s">
        <v>291</v>
      </c>
      <c r="G516" s="26">
        <v>0</v>
      </c>
      <c r="H516" s="177"/>
    </row>
    <row r="517" spans="1:8" ht="31.5" x14ac:dyDescent="0.25">
      <c r="A517" s="25" t="s">
        <v>296</v>
      </c>
      <c r="B517" s="16">
        <v>906</v>
      </c>
      <c r="C517" s="20" t="s">
        <v>280</v>
      </c>
      <c r="D517" s="20" t="s">
        <v>134</v>
      </c>
      <c r="E517" s="20" t="s">
        <v>430</v>
      </c>
      <c r="F517" s="20"/>
      <c r="G517" s="26">
        <f>G518</f>
        <v>1145</v>
      </c>
      <c r="H517" s="177"/>
    </row>
    <row r="518" spans="1:8" ht="47.25" x14ac:dyDescent="0.25">
      <c r="A518" s="25" t="s">
        <v>288</v>
      </c>
      <c r="B518" s="16">
        <v>906</v>
      </c>
      <c r="C518" s="20" t="s">
        <v>280</v>
      </c>
      <c r="D518" s="20" t="s">
        <v>134</v>
      </c>
      <c r="E518" s="20" t="s">
        <v>430</v>
      </c>
      <c r="F518" s="20" t="s">
        <v>289</v>
      </c>
      <c r="G518" s="26">
        <f>G519</f>
        <v>1145</v>
      </c>
      <c r="H518" s="177"/>
    </row>
    <row r="519" spans="1:8" ht="15.75" x14ac:dyDescent="0.25">
      <c r="A519" s="25" t="s">
        <v>290</v>
      </c>
      <c r="B519" s="16">
        <v>906</v>
      </c>
      <c r="C519" s="20" t="s">
        <v>280</v>
      </c>
      <c r="D519" s="20" t="s">
        <v>134</v>
      </c>
      <c r="E519" s="20" t="s">
        <v>430</v>
      </c>
      <c r="F519" s="20" t="s">
        <v>291</v>
      </c>
      <c r="G519" s="158">
        <f>800+300+45</f>
        <v>1145</v>
      </c>
      <c r="H519" s="165" t="s">
        <v>764</v>
      </c>
    </row>
    <row r="520" spans="1:8" ht="47.25" x14ac:dyDescent="0.25">
      <c r="A520" s="25" t="s">
        <v>431</v>
      </c>
      <c r="B520" s="16">
        <v>906</v>
      </c>
      <c r="C520" s="20" t="s">
        <v>280</v>
      </c>
      <c r="D520" s="20" t="s">
        <v>134</v>
      </c>
      <c r="E520" s="20" t="s">
        <v>432</v>
      </c>
      <c r="F520" s="20"/>
      <c r="G520" s="26">
        <f>G521</f>
        <v>6730</v>
      </c>
      <c r="H520" s="177"/>
    </row>
    <row r="521" spans="1:8" ht="47.25" x14ac:dyDescent="0.25">
      <c r="A521" s="25" t="s">
        <v>288</v>
      </c>
      <c r="B521" s="16">
        <v>906</v>
      </c>
      <c r="C521" s="20" t="s">
        <v>280</v>
      </c>
      <c r="D521" s="20" t="s">
        <v>134</v>
      </c>
      <c r="E521" s="20" t="s">
        <v>432</v>
      </c>
      <c r="F521" s="20" t="s">
        <v>289</v>
      </c>
      <c r="G521" s="26">
        <f>G522</f>
        <v>6730</v>
      </c>
      <c r="H521" s="177"/>
    </row>
    <row r="522" spans="1:8" ht="15.75" x14ac:dyDescent="0.25">
      <c r="A522" s="25" t="s">
        <v>290</v>
      </c>
      <c r="B522" s="16">
        <v>906</v>
      </c>
      <c r="C522" s="20" t="s">
        <v>280</v>
      </c>
      <c r="D522" s="20" t="s">
        <v>134</v>
      </c>
      <c r="E522" s="20" t="s">
        <v>432</v>
      </c>
      <c r="F522" s="20" t="s">
        <v>291</v>
      </c>
      <c r="G522" s="27">
        <v>6730</v>
      </c>
      <c r="H522" s="177"/>
    </row>
    <row r="523" spans="1:8" ht="31.5" hidden="1" x14ac:dyDescent="0.25">
      <c r="A523" s="25" t="s">
        <v>300</v>
      </c>
      <c r="B523" s="16">
        <v>906</v>
      </c>
      <c r="C523" s="20" t="s">
        <v>280</v>
      </c>
      <c r="D523" s="20" t="s">
        <v>134</v>
      </c>
      <c r="E523" s="20" t="s">
        <v>433</v>
      </c>
      <c r="F523" s="20"/>
      <c r="G523" s="26">
        <f>G524</f>
        <v>0</v>
      </c>
      <c r="H523" s="177"/>
    </row>
    <row r="524" spans="1:8" ht="47.25" hidden="1" x14ac:dyDescent="0.25">
      <c r="A524" s="25" t="s">
        <v>288</v>
      </c>
      <c r="B524" s="16">
        <v>906</v>
      </c>
      <c r="C524" s="20" t="s">
        <v>280</v>
      </c>
      <c r="D524" s="20" t="s">
        <v>134</v>
      </c>
      <c r="E524" s="20" t="s">
        <v>433</v>
      </c>
      <c r="F524" s="20" t="s">
        <v>289</v>
      </c>
      <c r="G524" s="26">
        <f>G525</f>
        <v>0</v>
      </c>
      <c r="H524" s="177"/>
    </row>
    <row r="525" spans="1:8" ht="15.75" hidden="1" x14ac:dyDescent="0.25">
      <c r="A525" s="25" t="s">
        <v>290</v>
      </c>
      <c r="B525" s="16">
        <v>906</v>
      </c>
      <c r="C525" s="20" t="s">
        <v>280</v>
      </c>
      <c r="D525" s="20" t="s">
        <v>134</v>
      </c>
      <c r="E525" s="20" t="s">
        <v>433</v>
      </c>
      <c r="F525" s="20" t="s">
        <v>291</v>
      </c>
      <c r="G525" s="26">
        <v>0</v>
      </c>
      <c r="H525" s="177"/>
    </row>
    <row r="526" spans="1:8" ht="15.75" x14ac:dyDescent="0.25">
      <c r="A526" s="25" t="s">
        <v>137</v>
      </c>
      <c r="B526" s="16">
        <v>906</v>
      </c>
      <c r="C526" s="20" t="s">
        <v>280</v>
      </c>
      <c r="D526" s="20" t="s">
        <v>134</v>
      </c>
      <c r="E526" s="20" t="s">
        <v>138</v>
      </c>
      <c r="F526" s="20"/>
      <c r="G526" s="26">
        <f>G527</f>
        <v>61206</v>
      </c>
      <c r="H526" s="177"/>
    </row>
    <row r="527" spans="1:8" ht="31.5" x14ac:dyDescent="0.25">
      <c r="A527" s="25" t="s">
        <v>201</v>
      </c>
      <c r="B527" s="16">
        <v>906</v>
      </c>
      <c r="C527" s="20" t="s">
        <v>280</v>
      </c>
      <c r="D527" s="20" t="s">
        <v>134</v>
      </c>
      <c r="E527" s="20" t="s">
        <v>202</v>
      </c>
      <c r="F527" s="20"/>
      <c r="G527" s="26">
        <f>G528+G531+G534+G537+G540+G543</f>
        <v>61206</v>
      </c>
      <c r="H527" s="177"/>
    </row>
    <row r="528" spans="1:8" ht="31.5" hidden="1" x14ac:dyDescent="0.25">
      <c r="A528" s="25" t="s">
        <v>434</v>
      </c>
      <c r="B528" s="16">
        <v>906</v>
      </c>
      <c r="C528" s="20" t="s">
        <v>280</v>
      </c>
      <c r="D528" s="20" t="s">
        <v>134</v>
      </c>
      <c r="E528" s="20" t="s">
        <v>435</v>
      </c>
      <c r="F528" s="20"/>
      <c r="G528" s="26">
        <f>G529</f>
        <v>0</v>
      </c>
      <c r="H528" s="177"/>
    </row>
    <row r="529" spans="1:9" ht="47.25" hidden="1" x14ac:dyDescent="0.25">
      <c r="A529" s="25" t="s">
        <v>288</v>
      </c>
      <c r="B529" s="16">
        <v>906</v>
      </c>
      <c r="C529" s="20" t="s">
        <v>280</v>
      </c>
      <c r="D529" s="20" t="s">
        <v>134</v>
      </c>
      <c r="E529" s="20" t="s">
        <v>435</v>
      </c>
      <c r="F529" s="20" t="s">
        <v>289</v>
      </c>
      <c r="G529" s="26">
        <f>G530</f>
        <v>0</v>
      </c>
      <c r="H529" s="177"/>
    </row>
    <row r="530" spans="1:9" ht="15.75" hidden="1" x14ac:dyDescent="0.25">
      <c r="A530" s="25" t="s">
        <v>290</v>
      </c>
      <c r="B530" s="16">
        <v>906</v>
      </c>
      <c r="C530" s="20" t="s">
        <v>280</v>
      </c>
      <c r="D530" s="20" t="s">
        <v>134</v>
      </c>
      <c r="E530" s="20" t="s">
        <v>435</v>
      </c>
      <c r="F530" s="20" t="s">
        <v>291</v>
      </c>
      <c r="G530" s="26"/>
      <c r="H530" s="177"/>
    </row>
    <row r="531" spans="1:9" ht="63" x14ac:dyDescent="0.25">
      <c r="A531" s="31" t="s">
        <v>305</v>
      </c>
      <c r="B531" s="16">
        <v>906</v>
      </c>
      <c r="C531" s="20" t="s">
        <v>280</v>
      </c>
      <c r="D531" s="20" t="s">
        <v>134</v>
      </c>
      <c r="E531" s="20" t="s">
        <v>306</v>
      </c>
      <c r="F531" s="20"/>
      <c r="G531" s="26">
        <f>G532</f>
        <v>310.2</v>
      </c>
      <c r="H531" s="177"/>
    </row>
    <row r="532" spans="1:9" ht="47.25" x14ac:dyDescent="0.25">
      <c r="A532" s="25" t="s">
        <v>288</v>
      </c>
      <c r="B532" s="16">
        <v>906</v>
      </c>
      <c r="C532" s="20" t="s">
        <v>280</v>
      </c>
      <c r="D532" s="20" t="s">
        <v>134</v>
      </c>
      <c r="E532" s="20" t="s">
        <v>306</v>
      </c>
      <c r="F532" s="20" t="s">
        <v>289</v>
      </c>
      <c r="G532" s="26">
        <f>G533</f>
        <v>310.2</v>
      </c>
      <c r="H532" s="177"/>
    </row>
    <row r="533" spans="1:9" ht="15.75" x14ac:dyDescent="0.25">
      <c r="A533" s="25" t="s">
        <v>290</v>
      </c>
      <c r="B533" s="16">
        <v>906</v>
      </c>
      <c r="C533" s="20" t="s">
        <v>280</v>
      </c>
      <c r="D533" s="20" t="s">
        <v>134</v>
      </c>
      <c r="E533" s="20" t="s">
        <v>306</v>
      </c>
      <c r="F533" s="20" t="s">
        <v>291</v>
      </c>
      <c r="G533" s="26">
        <f>416.2-106</f>
        <v>310.2</v>
      </c>
      <c r="H533" s="177"/>
      <c r="I533" s="115"/>
    </row>
    <row r="534" spans="1:9" ht="78.75" x14ac:dyDescent="0.25">
      <c r="A534" s="31" t="s">
        <v>436</v>
      </c>
      <c r="B534" s="16">
        <v>906</v>
      </c>
      <c r="C534" s="20" t="s">
        <v>280</v>
      </c>
      <c r="D534" s="20" t="s">
        <v>134</v>
      </c>
      <c r="E534" s="20" t="s">
        <v>308</v>
      </c>
      <c r="F534" s="20"/>
      <c r="G534" s="26">
        <f>G535</f>
        <v>1696.8</v>
      </c>
      <c r="H534" s="177"/>
    </row>
    <row r="535" spans="1:9" ht="47.25" x14ac:dyDescent="0.25">
      <c r="A535" s="25" t="s">
        <v>288</v>
      </c>
      <c r="B535" s="16">
        <v>906</v>
      </c>
      <c r="C535" s="20" t="s">
        <v>280</v>
      </c>
      <c r="D535" s="20" t="s">
        <v>134</v>
      </c>
      <c r="E535" s="20" t="s">
        <v>308</v>
      </c>
      <c r="F535" s="20" t="s">
        <v>289</v>
      </c>
      <c r="G535" s="26">
        <f>G536</f>
        <v>1696.8</v>
      </c>
      <c r="H535" s="177"/>
    </row>
    <row r="536" spans="1:9" ht="15.75" x14ac:dyDescent="0.25">
      <c r="A536" s="25" t="s">
        <v>290</v>
      </c>
      <c r="B536" s="16">
        <v>906</v>
      </c>
      <c r="C536" s="20" t="s">
        <v>280</v>
      </c>
      <c r="D536" s="20" t="s">
        <v>134</v>
      </c>
      <c r="E536" s="20" t="s">
        <v>308</v>
      </c>
      <c r="F536" s="20" t="s">
        <v>291</v>
      </c>
      <c r="G536" s="26">
        <f>1900-203.2</f>
        <v>1696.8</v>
      </c>
      <c r="H536" s="177"/>
      <c r="I536" s="115"/>
    </row>
    <row r="537" spans="1:9" ht="94.5" x14ac:dyDescent="0.25">
      <c r="A537" s="31" t="s">
        <v>437</v>
      </c>
      <c r="B537" s="16">
        <v>906</v>
      </c>
      <c r="C537" s="20" t="s">
        <v>280</v>
      </c>
      <c r="D537" s="20" t="s">
        <v>134</v>
      </c>
      <c r="E537" s="20" t="s">
        <v>438</v>
      </c>
      <c r="F537" s="20"/>
      <c r="G537" s="26">
        <f>G538</f>
        <v>56320</v>
      </c>
      <c r="H537" s="177"/>
    </row>
    <row r="538" spans="1:9" ht="47.25" x14ac:dyDescent="0.25">
      <c r="A538" s="25" t="s">
        <v>288</v>
      </c>
      <c r="B538" s="16">
        <v>906</v>
      </c>
      <c r="C538" s="20" t="s">
        <v>280</v>
      </c>
      <c r="D538" s="20" t="s">
        <v>134</v>
      </c>
      <c r="E538" s="20" t="s">
        <v>438</v>
      </c>
      <c r="F538" s="20" t="s">
        <v>289</v>
      </c>
      <c r="G538" s="26">
        <f>G539</f>
        <v>56320</v>
      </c>
      <c r="H538" s="177"/>
    </row>
    <row r="539" spans="1:9" ht="15.75" x14ac:dyDescent="0.25">
      <c r="A539" s="25" t="s">
        <v>290</v>
      </c>
      <c r="B539" s="16">
        <v>906</v>
      </c>
      <c r="C539" s="20" t="s">
        <v>280</v>
      </c>
      <c r="D539" s="20" t="s">
        <v>134</v>
      </c>
      <c r="E539" s="20" t="s">
        <v>438</v>
      </c>
      <c r="F539" s="20" t="s">
        <v>291</v>
      </c>
      <c r="G539" s="27">
        <f>66162.2-7643.6-2198.6</f>
        <v>56320</v>
      </c>
      <c r="H539" s="106"/>
      <c r="I539" s="115"/>
    </row>
    <row r="540" spans="1:9" ht="110.25" x14ac:dyDescent="0.25">
      <c r="A540" s="31" t="s">
        <v>309</v>
      </c>
      <c r="B540" s="16">
        <v>906</v>
      </c>
      <c r="C540" s="20" t="s">
        <v>280</v>
      </c>
      <c r="D540" s="20" t="s">
        <v>134</v>
      </c>
      <c r="E540" s="20" t="s">
        <v>310</v>
      </c>
      <c r="F540" s="20"/>
      <c r="G540" s="26">
        <f>G541</f>
        <v>2879</v>
      </c>
      <c r="H540" s="177"/>
    </row>
    <row r="541" spans="1:9" ht="47.25" x14ac:dyDescent="0.25">
      <c r="A541" s="25" t="s">
        <v>288</v>
      </c>
      <c r="B541" s="16">
        <v>906</v>
      </c>
      <c r="C541" s="20" t="s">
        <v>280</v>
      </c>
      <c r="D541" s="20" t="s">
        <v>134</v>
      </c>
      <c r="E541" s="20" t="s">
        <v>310</v>
      </c>
      <c r="F541" s="20" t="s">
        <v>289</v>
      </c>
      <c r="G541" s="26">
        <f>G542</f>
        <v>2879</v>
      </c>
      <c r="H541" s="177"/>
    </row>
    <row r="542" spans="1:9" ht="15.75" x14ac:dyDescent="0.25">
      <c r="A542" s="25" t="s">
        <v>290</v>
      </c>
      <c r="B542" s="16">
        <v>906</v>
      </c>
      <c r="C542" s="20" t="s">
        <v>280</v>
      </c>
      <c r="D542" s="20" t="s">
        <v>134</v>
      </c>
      <c r="E542" s="20" t="s">
        <v>310</v>
      </c>
      <c r="F542" s="20" t="s">
        <v>291</v>
      </c>
      <c r="G542" s="27">
        <f>2937.2-58.2</f>
        <v>2879</v>
      </c>
      <c r="H542" s="177"/>
      <c r="I542" s="115"/>
    </row>
    <row r="543" spans="1:9" ht="157.5" hidden="1" x14ac:dyDescent="0.25">
      <c r="A543" s="25" t="s">
        <v>439</v>
      </c>
      <c r="B543" s="16">
        <v>906</v>
      </c>
      <c r="C543" s="20" t="s">
        <v>280</v>
      </c>
      <c r="D543" s="20" t="s">
        <v>134</v>
      </c>
      <c r="E543" s="20" t="s">
        <v>440</v>
      </c>
      <c r="F543" s="20"/>
      <c r="G543" s="27">
        <f>G544</f>
        <v>0</v>
      </c>
      <c r="H543" s="177"/>
    </row>
    <row r="544" spans="1:9" ht="47.25" hidden="1" x14ac:dyDescent="0.25">
      <c r="A544" s="25" t="s">
        <v>288</v>
      </c>
      <c r="B544" s="16">
        <v>906</v>
      </c>
      <c r="C544" s="20" t="s">
        <v>280</v>
      </c>
      <c r="D544" s="20" t="s">
        <v>134</v>
      </c>
      <c r="E544" s="20" t="s">
        <v>440</v>
      </c>
      <c r="F544" s="20" t="s">
        <v>289</v>
      </c>
      <c r="G544" s="27">
        <f>G545</f>
        <v>0</v>
      </c>
      <c r="H544" s="177"/>
    </row>
    <row r="545" spans="1:9" ht="15.75" hidden="1" x14ac:dyDescent="0.25">
      <c r="A545" s="25" t="s">
        <v>290</v>
      </c>
      <c r="B545" s="16">
        <v>906</v>
      </c>
      <c r="C545" s="20" t="s">
        <v>280</v>
      </c>
      <c r="D545" s="20" t="s">
        <v>134</v>
      </c>
      <c r="E545" s="20" t="s">
        <v>440</v>
      </c>
      <c r="F545" s="20" t="s">
        <v>291</v>
      </c>
      <c r="G545" s="27">
        <f>276.5-276.5</f>
        <v>0</v>
      </c>
      <c r="H545" s="177"/>
      <c r="I545" s="115"/>
    </row>
    <row r="546" spans="1:9" ht="15.75" x14ac:dyDescent="0.25">
      <c r="A546" s="23" t="s">
        <v>441</v>
      </c>
      <c r="B546" s="19">
        <v>906</v>
      </c>
      <c r="C546" s="24" t="s">
        <v>280</v>
      </c>
      <c r="D546" s="24" t="s">
        <v>229</v>
      </c>
      <c r="E546" s="24"/>
      <c r="F546" s="24"/>
      <c r="G546" s="21">
        <f>G547+G580</f>
        <v>130684.4</v>
      </c>
      <c r="H546" s="177"/>
    </row>
    <row r="547" spans="1:9" ht="47.25" x14ac:dyDescent="0.25">
      <c r="A547" s="25" t="s">
        <v>442</v>
      </c>
      <c r="B547" s="16">
        <v>906</v>
      </c>
      <c r="C547" s="20" t="s">
        <v>280</v>
      </c>
      <c r="D547" s="20" t="s">
        <v>229</v>
      </c>
      <c r="E547" s="20" t="s">
        <v>422</v>
      </c>
      <c r="F547" s="20"/>
      <c r="G547" s="26">
        <f>G548+G552</f>
        <v>40826.6</v>
      </c>
      <c r="H547" s="177"/>
    </row>
    <row r="548" spans="1:9" ht="47.25" x14ac:dyDescent="0.25">
      <c r="A548" s="25" t="s">
        <v>423</v>
      </c>
      <c r="B548" s="16">
        <v>906</v>
      </c>
      <c r="C548" s="20" t="s">
        <v>280</v>
      </c>
      <c r="D548" s="20" t="s">
        <v>229</v>
      </c>
      <c r="E548" s="20" t="s">
        <v>424</v>
      </c>
      <c r="F548" s="20"/>
      <c r="G548" s="26">
        <f>G549</f>
        <v>34151.199999999997</v>
      </c>
      <c r="H548" s="177"/>
    </row>
    <row r="549" spans="1:9" ht="47.25" x14ac:dyDescent="0.25">
      <c r="A549" s="25" t="s">
        <v>443</v>
      </c>
      <c r="B549" s="16">
        <v>906</v>
      </c>
      <c r="C549" s="20" t="s">
        <v>280</v>
      </c>
      <c r="D549" s="20" t="s">
        <v>229</v>
      </c>
      <c r="E549" s="20" t="s">
        <v>444</v>
      </c>
      <c r="F549" s="20"/>
      <c r="G549" s="26">
        <f>G550</f>
        <v>34151.199999999997</v>
      </c>
      <c r="H549" s="177"/>
    </row>
    <row r="550" spans="1:9" ht="47.25" x14ac:dyDescent="0.25">
      <c r="A550" s="25" t="s">
        <v>288</v>
      </c>
      <c r="B550" s="16">
        <v>906</v>
      </c>
      <c r="C550" s="20" t="s">
        <v>280</v>
      </c>
      <c r="D550" s="20" t="s">
        <v>229</v>
      </c>
      <c r="E550" s="20" t="s">
        <v>444</v>
      </c>
      <c r="F550" s="20" t="s">
        <v>289</v>
      </c>
      <c r="G550" s="26">
        <f>G551</f>
        <v>34151.199999999997</v>
      </c>
      <c r="H550" s="177"/>
    </row>
    <row r="551" spans="1:9" ht="15.75" x14ac:dyDescent="0.25">
      <c r="A551" s="25" t="s">
        <v>290</v>
      </c>
      <c r="B551" s="16">
        <v>906</v>
      </c>
      <c r="C551" s="20" t="s">
        <v>280</v>
      </c>
      <c r="D551" s="20" t="s">
        <v>229</v>
      </c>
      <c r="E551" s="20" t="s">
        <v>444</v>
      </c>
      <c r="F551" s="20" t="s">
        <v>291</v>
      </c>
      <c r="G551" s="27">
        <f>21817.5+13206.2-481.7+562.6-953.4</f>
        <v>34151.199999999997</v>
      </c>
      <c r="H551" s="179"/>
      <c r="I551" s="125"/>
    </row>
    <row r="552" spans="1:9" ht="31.5" x14ac:dyDescent="0.25">
      <c r="A552" s="25" t="s">
        <v>446</v>
      </c>
      <c r="B552" s="16">
        <v>906</v>
      </c>
      <c r="C552" s="20" t="s">
        <v>280</v>
      </c>
      <c r="D552" s="20" t="s">
        <v>229</v>
      </c>
      <c r="E552" s="20" t="s">
        <v>447</v>
      </c>
      <c r="F552" s="20"/>
      <c r="G552" s="26">
        <f>G558+G574+G571+G577+G568+G553+G559+G562+G565</f>
        <v>6675.4</v>
      </c>
      <c r="H552" s="177"/>
    </row>
    <row r="553" spans="1:9" ht="63" hidden="1" x14ac:dyDescent="0.25">
      <c r="A553" s="25" t="s">
        <v>448</v>
      </c>
      <c r="B553" s="16">
        <v>906</v>
      </c>
      <c r="C553" s="20" t="s">
        <v>280</v>
      </c>
      <c r="D553" s="20" t="s">
        <v>229</v>
      </c>
      <c r="E553" s="20" t="s">
        <v>449</v>
      </c>
      <c r="F553" s="20"/>
      <c r="G553" s="26">
        <f>G554</f>
        <v>0</v>
      </c>
      <c r="H553" s="177"/>
    </row>
    <row r="554" spans="1:9" ht="47.25" hidden="1" x14ac:dyDescent="0.25">
      <c r="A554" s="25" t="s">
        <v>288</v>
      </c>
      <c r="B554" s="16">
        <v>906</v>
      </c>
      <c r="C554" s="20" t="s">
        <v>280</v>
      </c>
      <c r="D554" s="20" t="s">
        <v>229</v>
      </c>
      <c r="E554" s="20" t="s">
        <v>449</v>
      </c>
      <c r="F554" s="20" t="s">
        <v>289</v>
      </c>
      <c r="G554" s="26">
        <f>G555</f>
        <v>0</v>
      </c>
      <c r="H554" s="177"/>
    </row>
    <row r="555" spans="1:9" ht="15.75" hidden="1" x14ac:dyDescent="0.25">
      <c r="A555" s="25" t="s">
        <v>290</v>
      </c>
      <c r="B555" s="16">
        <v>906</v>
      </c>
      <c r="C555" s="20" t="s">
        <v>280</v>
      </c>
      <c r="D555" s="20" t="s">
        <v>229</v>
      </c>
      <c r="E555" s="20" t="s">
        <v>449</v>
      </c>
      <c r="F555" s="20" t="s">
        <v>291</v>
      </c>
      <c r="G555" s="26">
        <v>0</v>
      </c>
      <c r="H555" s="177"/>
    </row>
    <row r="556" spans="1:9" ht="48.75" hidden="1" customHeight="1" x14ac:dyDescent="0.25">
      <c r="A556" s="25" t="s">
        <v>450</v>
      </c>
      <c r="B556" s="16">
        <v>906</v>
      </c>
      <c r="C556" s="20" t="s">
        <v>280</v>
      </c>
      <c r="D556" s="20" t="s">
        <v>229</v>
      </c>
      <c r="E556" s="20" t="s">
        <v>451</v>
      </c>
      <c r="F556" s="20"/>
      <c r="G556" s="26">
        <f>G557</f>
        <v>0</v>
      </c>
      <c r="H556" s="177"/>
    </row>
    <row r="557" spans="1:9" ht="47.25" hidden="1" x14ac:dyDescent="0.25">
      <c r="A557" s="25" t="s">
        <v>288</v>
      </c>
      <c r="B557" s="16">
        <v>906</v>
      </c>
      <c r="C557" s="20" t="s">
        <v>280</v>
      </c>
      <c r="D557" s="20" t="s">
        <v>229</v>
      </c>
      <c r="E557" s="20" t="s">
        <v>451</v>
      </c>
      <c r="F557" s="20" t="s">
        <v>289</v>
      </c>
      <c r="G557" s="26">
        <f>G558</f>
        <v>0</v>
      </c>
      <c r="H557" s="177"/>
    </row>
    <row r="558" spans="1:9" ht="15.75" hidden="1" x14ac:dyDescent="0.25">
      <c r="A558" s="25" t="s">
        <v>290</v>
      </c>
      <c r="B558" s="16">
        <v>906</v>
      </c>
      <c r="C558" s="20" t="s">
        <v>280</v>
      </c>
      <c r="D558" s="20" t="s">
        <v>229</v>
      </c>
      <c r="E558" s="20" t="s">
        <v>451</v>
      </c>
      <c r="F558" s="20" t="s">
        <v>291</v>
      </c>
      <c r="G558" s="26">
        <v>0</v>
      </c>
      <c r="H558" s="177"/>
    </row>
    <row r="559" spans="1:9" ht="63" x14ac:dyDescent="0.25">
      <c r="A559" s="25" t="s">
        <v>452</v>
      </c>
      <c r="B559" s="16">
        <v>906</v>
      </c>
      <c r="C559" s="20" t="s">
        <v>280</v>
      </c>
      <c r="D559" s="20" t="s">
        <v>229</v>
      </c>
      <c r="E559" s="20" t="s">
        <v>453</v>
      </c>
      <c r="F559" s="20"/>
      <c r="G559" s="26">
        <f>G560</f>
        <v>2690</v>
      </c>
      <c r="H559" s="177"/>
    </row>
    <row r="560" spans="1:9" ht="47.25" x14ac:dyDescent="0.25">
      <c r="A560" s="25" t="s">
        <v>288</v>
      </c>
      <c r="B560" s="16">
        <v>906</v>
      </c>
      <c r="C560" s="20" t="s">
        <v>280</v>
      </c>
      <c r="D560" s="20" t="s">
        <v>229</v>
      </c>
      <c r="E560" s="20" t="s">
        <v>453</v>
      </c>
      <c r="F560" s="20" t="s">
        <v>289</v>
      </c>
      <c r="G560" s="26">
        <f>G561</f>
        <v>2690</v>
      </c>
      <c r="H560" s="177"/>
    </row>
    <row r="561" spans="1:8" ht="15.75" x14ac:dyDescent="0.25">
      <c r="A561" s="25" t="s">
        <v>290</v>
      </c>
      <c r="B561" s="16">
        <v>906</v>
      </c>
      <c r="C561" s="20" t="s">
        <v>280</v>
      </c>
      <c r="D561" s="20" t="s">
        <v>229</v>
      </c>
      <c r="E561" s="20" t="s">
        <v>453</v>
      </c>
      <c r="F561" s="20" t="s">
        <v>291</v>
      </c>
      <c r="G561" s="27">
        <f>3010-320</f>
        <v>2690</v>
      </c>
      <c r="H561" s="177"/>
    </row>
    <row r="562" spans="1:8" ht="63" x14ac:dyDescent="0.25">
      <c r="A562" s="25" t="s">
        <v>454</v>
      </c>
      <c r="B562" s="16">
        <v>906</v>
      </c>
      <c r="C562" s="20" t="s">
        <v>280</v>
      </c>
      <c r="D562" s="20" t="s">
        <v>229</v>
      </c>
      <c r="E562" s="20" t="s">
        <v>455</v>
      </c>
      <c r="F562" s="20"/>
      <c r="G562" s="26">
        <f>G563</f>
        <v>320</v>
      </c>
      <c r="H562" s="177"/>
    </row>
    <row r="563" spans="1:8" ht="47.25" x14ac:dyDescent="0.25">
      <c r="A563" s="25" t="s">
        <v>288</v>
      </c>
      <c r="B563" s="16">
        <v>906</v>
      </c>
      <c r="C563" s="20" t="s">
        <v>280</v>
      </c>
      <c r="D563" s="20" t="s">
        <v>229</v>
      </c>
      <c r="E563" s="20" t="s">
        <v>455</v>
      </c>
      <c r="F563" s="20" t="s">
        <v>289</v>
      </c>
      <c r="G563" s="26">
        <f>G564</f>
        <v>320</v>
      </c>
      <c r="H563" s="177"/>
    </row>
    <row r="564" spans="1:8" ht="15.75" x14ac:dyDescent="0.25">
      <c r="A564" s="25" t="s">
        <v>290</v>
      </c>
      <c r="B564" s="16">
        <v>906</v>
      </c>
      <c r="C564" s="20" t="s">
        <v>280</v>
      </c>
      <c r="D564" s="20" t="s">
        <v>229</v>
      </c>
      <c r="E564" s="20" t="s">
        <v>455</v>
      </c>
      <c r="F564" s="20" t="s">
        <v>291</v>
      </c>
      <c r="G564" s="26">
        <v>320</v>
      </c>
      <c r="H564" s="177"/>
    </row>
    <row r="565" spans="1:8" ht="47.25" hidden="1" x14ac:dyDescent="0.25">
      <c r="A565" s="25" t="s">
        <v>456</v>
      </c>
      <c r="B565" s="16">
        <v>906</v>
      </c>
      <c r="C565" s="20" t="s">
        <v>280</v>
      </c>
      <c r="D565" s="20" t="s">
        <v>229</v>
      </c>
      <c r="E565" s="20" t="s">
        <v>457</v>
      </c>
      <c r="F565" s="20"/>
      <c r="G565" s="26">
        <f>G566</f>
        <v>0</v>
      </c>
      <c r="H565" s="177"/>
    </row>
    <row r="566" spans="1:8" ht="47.25" hidden="1" x14ac:dyDescent="0.25">
      <c r="A566" s="25" t="s">
        <v>288</v>
      </c>
      <c r="B566" s="16">
        <v>906</v>
      </c>
      <c r="C566" s="20" t="s">
        <v>280</v>
      </c>
      <c r="D566" s="20" t="s">
        <v>229</v>
      </c>
      <c r="E566" s="20" t="s">
        <v>457</v>
      </c>
      <c r="F566" s="20" t="s">
        <v>289</v>
      </c>
      <c r="G566" s="26">
        <f>G567</f>
        <v>0</v>
      </c>
      <c r="H566" s="177"/>
    </row>
    <row r="567" spans="1:8" ht="15.75" hidden="1" x14ac:dyDescent="0.25">
      <c r="A567" s="25" t="s">
        <v>290</v>
      </c>
      <c r="B567" s="16">
        <v>906</v>
      </c>
      <c r="C567" s="20" t="s">
        <v>280</v>
      </c>
      <c r="D567" s="20" t="s">
        <v>229</v>
      </c>
      <c r="E567" s="20" t="s">
        <v>457</v>
      </c>
      <c r="F567" s="20" t="s">
        <v>291</v>
      </c>
      <c r="G567" s="26">
        <v>0</v>
      </c>
      <c r="H567" s="177"/>
    </row>
    <row r="568" spans="1:8" ht="47.25" x14ac:dyDescent="0.25">
      <c r="A568" s="25" t="s">
        <v>294</v>
      </c>
      <c r="B568" s="16">
        <v>906</v>
      </c>
      <c r="C568" s="20" t="s">
        <v>280</v>
      </c>
      <c r="D568" s="20" t="s">
        <v>229</v>
      </c>
      <c r="E568" s="20" t="s">
        <v>458</v>
      </c>
      <c r="F568" s="20"/>
      <c r="G568" s="26">
        <f>G569</f>
        <v>3309</v>
      </c>
      <c r="H568" s="177"/>
    </row>
    <row r="569" spans="1:8" ht="47.25" x14ac:dyDescent="0.25">
      <c r="A569" s="25" t="s">
        <v>288</v>
      </c>
      <c r="B569" s="16">
        <v>906</v>
      </c>
      <c r="C569" s="20" t="s">
        <v>280</v>
      </c>
      <c r="D569" s="20" t="s">
        <v>229</v>
      </c>
      <c r="E569" s="20" t="s">
        <v>458</v>
      </c>
      <c r="F569" s="20" t="s">
        <v>289</v>
      </c>
      <c r="G569" s="26">
        <f>G570</f>
        <v>3309</v>
      </c>
      <c r="H569" s="177"/>
    </row>
    <row r="570" spans="1:8" ht="15.75" x14ac:dyDescent="0.25">
      <c r="A570" s="25" t="s">
        <v>290</v>
      </c>
      <c r="B570" s="16">
        <v>906</v>
      </c>
      <c r="C570" s="20" t="s">
        <v>280</v>
      </c>
      <c r="D570" s="20" t="s">
        <v>229</v>
      </c>
      <c r="E570" s="20" t="s">
        <v>458</v>
      </c>
      <c r="F570" s="20" t="s">
        <v>291</v>
      </c>
      <c r="G570" s="26">
        <f>341+2968</f>
        <v>3309</v>
      </c>
      <c r="H570" s="120"/>
    </row>
    <row r="571" spans="1:8" ht="31.5" hidden="1" x14ac:dyDescent="0.25">
      <c r="A571" s="25" t="s">
        <v>296</v>
      </c>
      <c r="B571" s="16">
        <v>906</v>
      </c>
      <c r="C571" s="20" t="s">
        <v>280</v>
      </c>
      <c r="D571" s="20" t="s">
        <v>229</v>
      </c>
      <c r="E571" s="20" t="s">
        <v>459</v>
      </c>
      <c r="F571" s="20"/>
      <c r="G571" s="26">
        <f>G572</f>
        <v>0</v>
      </c>
      <c r="H571" s="177"/>
    </row>
    <row r="572" spans="1:8" ht="47.25" hidden="1" x14ac:dyDescent="0.25">
      <c r="A572" s="25" t="s">
        <v>288</v>
      </c>
      <c r="B572" s="16">
        <v>906</v>
      </c>
      <c r="C572" s="20" t="s">
        <v>280</v>
      </c>
      <c r="D572" s="20" t="s">
        <v>229</v>
      </c>
      <c r="E572" s="20" t="s">
        <v>459</v>
      </c>
      <c r="F572" s="20" t="s">
        <v>289</v>
      </c>
      <c r="G572" s="26">
        <f>G573</f>
        <v>0</v>
      </c>
      <c r="H572" s="177"/>
    </row>
    <row r="573" spans="1:8" ht="15.75" hidden="1" x14ac:dyDescent="0.25">
      <c r="A573" s="25" t="s">
        <v>290</v>
      </c>
      <c r="B573" s="16">
        <v>906</v>
      </c>
      <c r="C573" s="20" t="s">
        <v>280</v>
      </c>
      <c r="D573" s="20" t="s">
        <v>229</v>
      </c>
      <c r="E573" s="20" t="s">
        <v>459</v>
      </c>
      <c r="F573" s="20" t="s">
        <v>291</v>
      </c>
      <c r="G573" s="26">
        <v>0</v>
      </c>
      <c r="H573" s="177"/>
    </row>
    <row r="574" spans="1:8" ht="47.25" x14ac:dyDescent="0.25">
      <c r="A574" s="25" t="s">
        <v>298</v>
      </c>
      <c r="B574" s="16">
        <v>906</v>
      </c>
      <c r="C574" s="20" t="s">
        <v>280</v>
      </c>
      <c r="D574" s="20" t="s">
        <v>229</v>
      </c>
      <c r="E574" s="20" t="s">
        <v>460</v>
      </c>
      <c r="F574" s="20"/>
      <c r="G574" s="26">
        <f>G575</f>
        <v>127</v>
      </c>
      <c r="H574" s="177"/>
    </row>
    <row r="575" spans="1:8" ht="47.25" x14ac:dyDescent="0.25">
      <c r="A575" s="25" t="s">
        <v>288</v>
      </c>
      <c r="B575" s="16">
        <v>906</v>
      </c>
      <c r="C575" s="20" t="s">
        <v>280</v>
      </c>
      <c r="D575" s="20" t="s">
        <v>229</v>
      </c>
      <c r="E575" s="20" t="s">
        <v>460</v>
      </c>
      <c r="F575" s="20" t="s">
        <v>289</v>
      </c>
      <c r="G575" s="26">
        <f>G576</f>
        <v>127</v>
      </c>
      <c r="H575" s="177"/>
    </row>
    <row r="576" spans="1:8" ht="15.75" x14ac:dyDescent="0.25">
      <c r="A576" s="25" t="s">
        <v>290</v>
      </c>
      <c r="B576" s="16">
        <v>906</v>
      </c>
      <c r="C576" s="20" t="s">
        <v>280</v>
      </c>
      <c r="D576" s="20" t="s">
        <v>229</v>
      </c>
      <c r="E576" s="20" t="s">
        <v>460</v>
      </c>
      <c r="F576" s="20" t="s">
        <v>291</v>
      </c>
      <c r="G576" s="26">
        <v>127</v>
      </c>
      <c r="H576" s="177"/>
    </row>
    <row r="577" spans="1:12" ht="31.5" x14ac:dyDescent="0.25">
      <c r="A577" s="25" t="s">
        <v>300</v>
      </c>
      <c r="B577" s="16">
        <v>906</v>
      </c>
      <c r="C577" s="20" t="s">
        <v>280</v>
      </c>
      <c r="D577" s="20" t="s">
        <v>229</v>
      </c>
      <c r="E577" s="20" t="s">
        <v>461</v>
      </c>
      <c r="F577" s="20"/>
      <c r="G577" s="26">
        <f>G578</f>
        <v>229.4</v>
      </c>
      <c r="H577" s="177"/>
    </row>
    <row r="578" spans="1:12" ht="47.25" x14ac:dyDescent="0.25">
      <c r="A578" s="25" t="s">
        <v>288</v>
      </c>
      <c r="B578" s="16">
        <v>906</v>
      </c>
      <c r="C578" s="20" t="s">
        <v>280</v>
      </c>
      <c r="D578" s="20" t="s">
        <v>229</v>
      </c>
      <c r="E578" s="20" t="s">
        <v>461</v>
      </c>
      <c r="F578" s="20" t="s">
        <v>289</v>
      </c>
      <c r="G578" s="26">
        <f>G579</f>
        <v>229.4</v>
      </c>
      <c r="H578" s="177"/>
    </row>
    <row r="579" spans="1:12" ht="15.75" x14ac:dyDescent="0.25">
      <c r="A579" s="25" t="s">
        <v>290</v>
      </c>
      <c r="B579" s="16">
        <v>906</v>
      </c>
      <c r="C579" s="20" t="s">
        <v>280</v>
      </c>
      <c r="D579" s="20" t="s">
        <v>229</v>
      </c>
      <c r="E579" s="20" t="s">
        <v>461</v>
      </c>
      <c r="F579" s="20" t="s">
        <v>291</v>
      </c>
      <c r="G579" s="26">
        <v>229.4</v>
      </c>
      <c r="H579" s="106"/>
      <c r="I579" s="124"/>
    </row>
    <row r="580" spans="1:12" ht="15.75" x14ac:dyDescent="0.25">
      <c r="A580" s="25" t="s">
        <v>137</v>
      </c>
      <c r="B580" s="16">
        <v>906</v>
      </c>
      <c r="C580" s="20" t="s">
        <v>280</v>
      </c>
      <c r="D580" s="20" t="s">
        <v>229</v>
      </c>
      <c r="E580" s="20" t="s">
        <v>138</v>
      </c>
      <c r="F580" s="20"/>
      <c r="G580" s="26">
        <f>G581</f>
        <v>89857.8</v>
      </c>
      <c r="H580" s="177"/>
    </row>
    <row r="581" spans="1:12" ht="31.5" x14ac:dyDescent="0.25">
      <c r="A581" s="25" t="s">
        <v>201</v>
      </c>
      <c r="B581" s="16">
        <v>906</v>
      </c>
      <c r="C581" s="20" t="s">
        <v>280</v>
      </c>
      <c r="D581" s="20" t="s">
        <v>229</v>
      </c>
      <c r="E581" s="20" t="s">
        <v>202</v>
      </c>
      <c r="F581" s="20"/>
      <c r="G581" s="26">
        <f>G588+G591+G597+G600+G603+G606+G582+G585+G609+G594</f>
        <v>89857.8</v>
      </c>
      <c r="H581" s="177"/>
    </row>
    <row r="582" spans="1:12" ht="47.25" hidden="1" x14ac:dyDescent="0.25">
      <c r="A582" s="25" t="s">
        <v>466</v>
      </c>
      <c r="B582" s="16">
        <v>906</v>
      </c>
      <c r="C582" s="20" t="s">
        <v>280</v>
      </c>
      <c r="D582" s="20" t="s">
        <v>229</v>
      </c>
      <c r="E582" s="20" t="s">
        <v>467</v>
      </c>
      <c r="F582" s="20"/>
      <c r="G582" s="26">
        <f>G583</f>
        <v>0</v>
      </c>
      <c r="H582" s="177"/>
    </row>
    <row r="583" spans="1:12" ht="47.25" hidden="1" x14ac:dyDescent="0.25">
      <c r="A583" s="25" t="s">
        <v>288</v>
      </c>
      <c r="B583" s="16">
        <v>906</v>
      </c>
      <c r="C583" s="20" t="s">
        <v>280</v>
      </c>
      <c r="D583" s="20" t="s">
        <v>229</v>
      </c>
      <c r="E583" s="20" t="s">
        <v>467</v>
      </c>
      <c r="F583" s="20" t="s">
        <v>289</v>
      </c>
      <c r="G583" s="26">
        <f>G584</f>
        <v>0</v>
      </c>
      <c r="H583" s="177"/>
    </row>
    <row r="584" spans="1:12" ht="15.75" hidden="1" x14ac:dyDescent="0.25">
      <c r="A584" s="25" t="s">
        <v>290</v>
      </c>
      <c r="B584" s="16">
        <v>906</v>
      </c>
      <c r="C584" s="20" t="s">
        <v>280</v>
      </c>
      <c r="D584" s="20" t="s">
        <v>229</v>
      </c>
      <c r="E584" s="20" t="s">
        <v>467</v>
      </c>
      <c r="F584" s="20" t="s">
        <v>291</v>
      </c>
      <c r="G584" s="26">
        <v>0</v>
      </c>
      <c r="H584" s="177"/>
    </row>
    <row r="585" spans="1:12" ht="15.75" hidden="1" x14ac:dyDescent="0.25">
      <c r="A585" s="25" t="s">
        <v>468</v>
      </c>
      <c r="B585" s="16">
        <v>906</v>
      </c>
      <c r="C585" s="20" t="s">
        <v>280</v>
      </c>
      <c r="D585" s="20" t="s">
        <v>229</v>
      </c>
      <c r="E585" s="20" t="s">
        <v>469</v>
      </c>
      <c r="F585" s="20"/>
      <c r="G585" s="26">
        <f>G586</f>
        <v>0</v>
      </c>
      <c r="H585" s="177"/>
    </row>
    <row r="586" spans="1:12" ht="47.25" hidden="1" x14ac:dyDescent="0.25">
      <c r="A586" s="25" t="s">
        <v>288</v>
      </c>
      <c r="B586" s="16">
        <v>906</v>
      </c>
      <c r="C586" s="20" t="s">
        <v>280</v>
      </c>
      <c r="D586" s="20" t="s">
        <v>229</v>
      </c>
      <c r="E586" s="20" t="s">
        <v>469</v>
      </c>
      <c r="F586" s="20" t="s">
        <v>289</v>
      </c>
      <c r="G586" s="26">
        <f>G587</f>
        <v>0</v>
      </c>
      <c r="H586" s="177"/>
    </row>
    <row r="587" spans="1:12" ht="15.75" hidden="1" x14ac:dyDescent="0.25">
      <c r="A587" s="25" t="s">
        <v>290</v>
      </c>
      <c r="B587" s="16">
        <v>906</v>
      </c>
      <c r="C587" s="20" t="s">
        <v>280</v>
      </c>
      <c r="D587" s="20" t="s">
        <v>229</v>
      </c>
      <c r="E587" s="20" t="s">
        <v>469</v>
      </c>
      <c r="F587" s="20" t="s">
        <v>291</v>
      </c>
      <c r="G587" s="27">
        <v>0</v>
      </c>
      <c r="H587" s="177"/>
    </row>
    <row r="588" spans="1:12" ht="31.5" hidden="1" x14ac:dyDescent="0.25">
      <c r="A588" s="25" t="s">
        <v>470</v>
      </c>
      <c r="B588" s="16">
        <v>906</v>
      </c>
      <c r="C588" s="20" t="s">
        <v>280</v>
      </c>
      <c r="D588" s="20" t="s">
        <v>229</v>
      </c>
      <c r="E588" s="20" t="s">
        <v>471</v>
      </c>
      <c r="F588" s="20"/>
      <c r="G588" s="26">
        <f>G589</f>
        <v>0</v>
      </c>
      <c r="H588" s="177"/>
    </row>
    <row r="589" spans="1:12" ht="47.25" hidden="1" x14ac:dyDescent="0.25">
      <c r="A589" s="25" t="s">
        <v>288</v>
      </c>
      <c r="B589" s="16">
        <v>906</v>
      </c>
      <c r="C589" s="20" t="s">
        <v>280</v>
      </c>
      <c r="D589" s="20" t="s">
        <v>229</v>
      </c>
      <c r="E589" s="20" t="s">
        <v>471</v>
      </c>
      <c r="F589" s="20" t="s">
        <v>289</v>
      </c>
      <c r="G589" s="26">
        <f>G590</f>
        <v>0</v>
      </c>
      <c r="H589" s="177"/>
    </row>
    <row r="590" spans="1:12" ht="15.75" hidden="1" x14ac:dyDescent="0.25">
      <c r="A590" s="25" t="s">
        <v>290</v>
      </c>
      <c r="B590" s="16">
        <v>906</v>
      </c>
      <c r="C590" s="20" t="s">
        <v>280</v>
      </c>
      <c r="D590" s="20" t="s">
        <v>229</v>
      </c>
      <c r="E590" s="20" t="s">
        <v>471</v>
      </c>
      <c r="F590" s="20" t="s">
        <v>291</v>
      </c>
      <c r="G590" s="26">
        <f>157.3-157.3</f>
        <v>0</v>
      </c>
      <c r="H590" s="177"/>
      <c r="I590" s="115"/>
    </row>
    <row r="591" spans="1:12" ht="31.5" x14ac:dyDescent="0.25">
      <c r="A591" s="25" t="s">
        <v>472</v>
      </c>
      <c r="B591" s="16">
        <v>906</v>
      </c>
      <c r="C591" s="20" t="s">
        <v>280</v>
      </c>
      <c r="D591" s="20" t="s">
        <v>229</v>
      </c>
      <c r="E591" s="20" t="s">
        <v>473</v>
      </c>
      <c r="F591" s="20"/>
      <c r="G591" s="26">
        <f>G592</f>
        <v>1293.5999999999999</v>
      </c>
      <c r="H591" s="177"/>
    </row>
    <row r="592" spans="1:12" ht="47.25" x14ac:dyDescent="0.25">
      <c r="A592" s="25" t="s">
        <v>288</v>
      </c>
      <c r="B592" s="16">
        <v>906</v>
      </c>
      <c r="C592" s="20" t="s">
        <v>280</v>
      </c>
      <c r="D592" s="20" t="s">
        <v>229</v>
      </c>
      <c r="E592" s="20" t="s">
        <v>473</v>
      </c>
      <c r="F592" s="20" t="s">
        <v>289</v>
      </c>
      <c r="G592" s="26">
        <f>G593</f>
        <v>1293.5999999999999</v>
      </c>
      <c r="H592" s="177"/>
      <c r="L592" s="116"/>
    </row>
    <row r="593" spans="1:9" ht="15.75" x14ac:dyDescent="0.25">
      <c r="A593" s="25" t="s">
        <v>290</v>
      </c>
      <c r="B593" s="16">
        <v>906</v>
      </c>
      <c r="C593" s="20" t="s">
        <v>280</v>
      </c>
      <c r="D593" s="20" t="s">
        <v>229</v>
      </c>
      <c r="E593" s="20" t="s">
        <v>473</v>
      </c>
      <c r="F593" s="20" t="s">
        <v>291</v>
      </c>
      <c r="G593" s="27">
        <f>1572.5-278.9</f>
        <v>1293.5999999999999</v>
      </c>
      <c r="H593" s="177"/>
      <c r="I593" s="115"/>
    </row>
    <row r="594" spans="1:9" ht="47.25" x14ac:dyDescent="0.25">
      <c r="A594" s="25" t="s">
        <v>474</v>
      </c>
      <c r="B594" s="16">
        <v>906</v>
      </c>
      <c r="C594" s="20" t="s">
        <v>280</v>
      </c>
      <c r="D594" s="20" t="s">
        <v>229</v>
      </c>
      <c r="E594" s="20" t="s">
        <v>475</v>
      </c>
      <c r="F594" s="20"/>
      <c r="G594" s="27">
        <f>G595</f>
        <v>488.7</v>
      </c>
      <c r="H594" s="177"/>
    </row>
    <row r="595" spans="1:9" ht="47.25" x14ac:dyDescent="0.25">
      <c r="A595" s="25" t="s">
        <v>288</v>
      </c>
      <c r="B595" s="16">
        <v>906</v>
      </c>
      <c r="C595" s="20" t="s">
        <v>280</v>
      </c>
      <c r="D595" s="20" t="s">
        <v>229</v>
      </c>
      <c r="E595" s="20" t="s">
        <v>475</v>
      </c>
      <c r="F595" s="20" t="s">
        <v>289</v>
      </c>
      <c r="G595" s="27">
        <f>G596</f>
        <v>488.7</v>
      </c>
      <c r="H595" s="177"/>
    </row>
    <row r="596" spans="1:9" ht="15.75" x14ac:dyDescent="0.25">
      <c r="A596" s="25" t="s">
        <v>290</v>
      </c>
      <c r="B596" s="16">
        <v>906</v>
      </c>
      <c r="C596" s="20" t="s">
        <v>280</v>
      </c>
      <c r="D596" s="20" t="s">
        <v>229</v>
      </c>
      <c r="E596" s="20" t="s">
        <v>475</v>
      </c>
      <c r="F596" s="20" t="s">
        <v>291</v>
      </c>
      <c r="G596" s="27">
        <f>733.5-244.8</f>
        <v>488.7</v>
      </c>
      <c r="H596" s="177"/>
      <c r="I596" s="115"/>
    </row>
    <row r="597" spans="1:9" ht="94.5" x14ac:dyDescent="0.25">
      <c r="A597" s="31" t="s">
        <v>476</v>
      </c>
      <c r="B597" s="16">
        <v>906</v>
      </c>
      <c r="C597" s="20" t="s">
        <v>280</v>
      </c>
      <c r="D597" s="20" t="s">
        <v>229</v>
      </c>
      <c r="E597" s="20" t="s">
        <v>477</v>
      </c>
      <c r="F597" s="20"/>
      <c r="G597" s="26">
        <f>G598</f>
        <v>79753.600000000006</v>
      </c>
      <c r="H597" s="177"/>
    </row>
    <row r="598" spans="1:9" ht="47.25" x14ac:dyDescent="0.25">
      <c r="A598" s="25" t="s">
        <v>288</v>
      </c>
      <c r="B598" s="16">
        <v>906</v>
      </c>
      <c r="C598" s="20" t="s">
        <v>280</v>
      </c>
      <c r="D598" s="20" t="s">
        <v>229</v>
      </c>
      <c r="E598" s="20" t="s">
        <v>477</v>
      </c>
      <c r="F598" s="20" t="s">
        <v>289</v>
      </c>
      <c r="G598" s="26">
        <f>G599</f>
        <v>79753.600000000006</v>
      </c>
      <c r="H598" s="177"/>
    </row>
    <row r="599" spans="1:9" ht="15.75" x14ac:dyDescent="0.25">
      <c r="A599" s="25" t="s">
        <v>290</v>
      </c>
      <c r="B599" s="16">
        <v>906</v>
      </c>
      <c r="C599" s="20" t="s">
        <v>280</v>
      </c>
      <c r="D599" s="20" t="s">
        <v>229</v>
      </c>
      <c r="E599" s="20" t="s">
        <v>477</v>
      </c>
      <c r="F599" s="20" t="s">
        <v>291</v>
      </c>
      <c r="G599" s="27">
        <f>93568.6-13815</f>
        <v>79753.600000000006</v>
      </c>
      <c r="H599" s="177"/>
      <c r="I599" s="115"/>
    </row>
    <row r="600" spans="1:9" ht="63" x14ac:dyDescent="0.25">
      <c r="A600" s="31" t="s">
        <v>305</v>
      </c>
      <c r="B600" s="16">
        <v>906</v>
      </c>
      <c r="C600" s="20" t="s">
        <v>280</v>
      </c>
      <c r="D600" s="20" t="s">
        <v>229</v>
      </c>
      <c r="E600" s="20" t="s">
        <v>306</v>
      </c>
      <c r="F600" s="20"/>
      <c r="G600" s="26">
        <f>G601</f>
        <v>910.90000000000009</v>
      </c>
      <c r="H600" s="177"/>
    </row>
    <row r="601" spans="1:9" ht="47.25" x14ac:dyDescent="0.25">
      <c r="A601" s="25" t="s">
        <v>288</v>
      </c>
      <c r="B601" s="16">
        <v>906</v>
      </c>
      <c r="C601" s="20" t="s">
        <v>280</v>
      </c>
      <c r="D601" s="20" t="s">
        <v>229</v>
      </c>
      <c r="E601" s="20" t="s">
        <v>306</v>
      </c>
      <c r="F601" s="20" t="s">
        <v>289</v>
      </c>
      <c r="G601" s="26">
        <f>G602</f>
        <v>910.90000000000009</v>
      </c>
      <c r="H601" s="177"/>
    </row>
    <row r="602" spans="1:9" ht="15.75" x14ac:dyDescent="0.25">
      <c r="A602" s="25" t="s">
        <v>290</v>
      </c>
      <c r="B602" s="16">
        <v>906</v>
      </c>
      <c r="C602" s="20" t="s">
        <v>280</v>
      </c>
      <c r="D602" s="20" t="s">
        <v>229</v>
      </c>
      <c r="E602" s="20" t="s">
        <v>306</v>
      </c>
      <c r="F602" s="20" t="s">
        <v>291</v>
      </c>
      <c r="G602" s="27">
        <f>1101.7-190.8</f>
        <v>910.90000000000009</v>
      </c>
      <c r="H602" s="177"/>
      <c r="I602" s="115"/>
    </row>
    <row r="603" spans="1:9" ht="78.75" x14ac:dyDescent="0.25">
      <c r="A603" s="31" t="s">
        <v>307</v>
      </c>
      <c r="B603" s="16">
        <v>906</v>
      </c>
      <c r="C603" s="20" t="s">
        <v>280</v>
      </c>
      <c r="D603" s="20" t="s">
        <v>229</v>
      </c>
      <c r="E603" s="20" t="s">
        <v>308</v>
      </c>
      <c r="F603" s="20"/>
      <c r="G603" s="26">
        <f>G604</f>
        <v>2155.5</v>
      </c>
      <c r="H603" s="177"/>
    </row>
    <row r="604" spans="1:9" ht="47.25" x14ac:dyDescent="0.25">
      <c r="A604" s="25" t="s">
        <v>288</v>
      </c>
      <c r="B604" s="16">
        <v>906</v>
      </c>
      <c r="C604" s="20" t="s">
        <v>280</v>
      </c>
      <c r="D604" s="20" t="s">
        <v>229</v>
      </c>
      <c r="E604" s="20" t="s">
        <v>308</v>
      </c>
      <c r="F604" s="20" t="s">
        <v>289</v>
      </c>
      <c r="G604" s="26">
        <f>G605</f>
        <v>2155.5</v>
      </c>
      <c r="H604" s="177"/>
    </row>
    <row r="605" spans="1:9" ht="15.75" x14ac:dyDescent="0.25">
      <c r="A605" s="25" t="s">
        <v>290</v>
      </c>
      <c r="B605" s="16">
        <v>906</v>
      </c>
      <c r="C605" s="20" t="s">
        <v>280</v>
      </c>
      <c r="D605" s="20" t="s">
        <v>229</v>
      </c>
      <c r="E605" s="20" t="s">
        <v>308</v>
      </c>
      <c r="F605" s="20" t="s">
        <v>291</v>
      </c>
      <c r="G605" s="27">
        <f>2823.2-667.7</f>
        <v>2155.5</v>
      </c>
      <c r="H605" s="177"/>
      <c r="I605" s="115"/>
    </row>
    <row r="606" spans="1:9" ht="47.25" x14ac:dyDescent="0.25">
      <c r="A606" s="31" t="s">
        <v>478</v>
      </c>
      <c r="B606" s="16">
        <v>906</v>
      </c>
      <c r="C606" s="20" t="s">
        <v>280</v>
      </c>
      <c r="D606" s="20" t="s">
        <v>229</v>
      </c>
      <c r="E606" s="20" t="s">
        <v>479</v>
      </c>
      <c r="F606" s="20"/>
      <c r="G606" s="26">
        <f>G607</f>
        <v>886.5</v>
      </c>
      <c r="H606" s="177"/>
    </row>
    <row r="607" spans="1:9" ht="47.25" x14ac:dyDescent="0.25">
      <c r="A607" s="25" t="s">
        <v>288</v>
      </c>
      <c r="B607" s="16">
        <v>906</v>
      </c>
      <c r="C607" s="20" t="s">
        <v>280</v>
      </c>
      <c r="D607" s="20" t="s">
        <v>229</v>
      </c>
      <c r="E607" s="20" t="s">
        <v>479</v>
      </c>
      <c r="F607" s="20" t="s">
        <v>289</v>
      </c>
      <c r="G607" s="26">
        <f>G608</f>
        <v>886.5</v>
      </c>
      <c r="H607" s="177"/>
    </row>
    <row r="608" spans="1:9" ht="15.75" x14ac:dyDescent="0.25">
      <c r="A608" s="25" t="s">
        <v>290</v>
      </c>
      <c r="B608" s="16">
        <v>906</v>
      </c>
      <c r="C608" s="20" t="s">
        <v>280</v>
      </c>
      <c r="D608" s="20" t="s">
        <v>229</v>
      </c>
      <c r="E608" s="20" t="s">
        <v>479</v>
      </c>
      <c r="F608" s="20" t="s">
        <v>291</v>
      </c>
      <c r="G608" s="27">
        <f>998.4-111.9</f>
        <v>886.5</v>
      </c>
      <c r="H608" s="177"/>
      <c r="I608" s="115"/>
    </row>
    <row r="609" spans="1:9" ht="110.25" x14ac:dyDescent="0.25">
      <c r="A609" s="31" t="s">
        <v>480</v>
      </c>
      <c r="B609" s="16">
        <v>906</v>
      </c>
      <c r="C609" s="20" t="s">
        <v>280</v>
      </c>
      <c r="D609" s="20" t="s">
        <v>229</v>
      </c>
      <c r="E609" s="20" t="s">
        <v>310</v>
      </c>
      <c r="F609" s="20"/>
      <c r="G609" s="26">
        <f>G610</f>
        <v>4369</v>
      </c>
      <c r="H609" s="177"/>
    </row>
    <row r="610" spans="1:9" ht="47.25" x14ac:dyDescent="0.25">
      <c r="A610" s="25" t="s">
        <v>288</v>
      </c>
      <c r="B610" s="16">
        <v>906</v>
      </c>
      <c r="C610" s="20" t="s">
        <v>280</v>
      </c>
      <c r="D610" s="20" t="s">
        <v>229</v>
      </c>
      <c r="E610" s="20" t="s">
        <v>310</v>
      </c>
      <c r="F610" s="20" t="s">
        <v>289</v>
      </c>
      <c r="G610" s="26">
        <f>G611</f>
        <v>4369</v>
      </c>
      <c r="H610" s="177"/>
    </row>
    <row r="611" spans="1:9" ht="15.75" x14ac:dyDescent="0.25">
      <c r="A611" s="25" t="s">
        <v>290</v>
      </c>
      <c r="B611" s="16">
        <v>906</v>
      </c>
      <c r="C611" s="20" t="s">
        <v>280</v>
      </c>
      <c r="D611" s="20" t="s">
        <v>229</v>
      </c>
      <c r="E611" s="20" t="s">
        <v>310</v>
      </c>
      <c r="F611" s="20" t="s">
        <v>291</v>
      </c>
      <c r="G611" s="27">
        <f>5441.9-1072.9</f>
        <v>4369</v>
      </c>
      <c r="H611" s="177"/>
      <c r="I611" s="115"/>
    </row>
    <row r="612" spans="1:9" ht="15.75" x14ac:dyDescent="0.25">
      <c r="A612" s="23" t="s">
        <v>281</v>
      </c>
      <c r="B612" s="19">
        <v>906</v>
      </c>
      <c r="C612" s="24" t="s">
        <v>280</v>
      </c>
      <c r="D612" s="24" t="s">
        <v>231</v>
      </c>
      <c r="E612" s="24"/>
      <c r="F612" s="24"/>
      <c r="G612" s="44">
        <f>G613+G622</f>
        <v>23062.100000000002</v>
      </c>
      <c r="H612" s="177"/>
      <c r="I612" s="115"/>
    </row>
    <row r="613" spans="1:9" ht="47.25" x14ac:dyDescent="0.25">
      <c r="A613" s="25" t="s">
        <v>442</v>
      </c>
      <c r="B613" s="16">
        <v>906</v>
      </c>
      <c r="C613" s="20" t="s">
        <v>280</v>
      </c>
      <c r="D613" s="20" t="s">
        <v>231</v>
      </c>
      <c r="E613" s="20" t="s">
        <v>422</v>
      </c>
      <c r="F613" s="20"/>
      <c r="G613" s="27">
        <f>G614+G620</f>
        <v>21479.9</v>
      </c>
      <c r="H613" s="177"/>
      <c r="I613" s="115"/>
    </row>
    <row r="614" spans="1:9" ht="47.25" x14ac:dyDescent="0.25">
      <c r="A614" s="25" t="s">
        <v>423</v>
      </c>
      <c r="B614" s="16">
        <v>906</v>
      </c>
      <c r="C614" s="20" t="s">
        <v>280</v>
      </c>
      <c r="D614" s="20" t="s">
        <v>231</v>
      </c>
      <c r="E614" s="20" t="s">
        <v>424</v>
      </c>
      <c r="F614" s="20"/>
      <c r="G614" s="27">
        <f>G615</f>
        <v>21124</v>
      </c>
      <c r="H614" s="177"/>
      <c r="I614" s="115"/>
    </row>
    <row r="615" spans="1:9" ht="47.25" x14ac:dyDescent="0.25">
      <c r="A615" s="25" t="s">
        <v>286</v>
      </c>
      <c r="B615" s="16">
        <v>906</v>
      </c>
      <c r="C615" s="20" t="s">
        <v>280</v>
      </c>
      <c r="D615" s="20" t="s">
        <v>231</v>
      </c>
      <c r="E615" s="20" t="s">
        <v>445</v>
      </c>
      <c r="F615" s="20"/>
      <c r="G615" s="27">
        <f>G616</f>
        <v>21124</v>
      </c>
      <c r="H615" s="177"/>
      <c r="I615" s="115"/>
    </row>
    <row r="616" spans="1:9" ht="47.25" x14ac:dyDescent="0.25">
      <c r="A616" s="25" t="s">
        <v>288</v>
      </c>
      <c r="B616" s="16">
        <v>906</v>
      </c>
      <c r="C616" s="20" t="s">
        <v>280</v>
      </c>
      <c r="D616" s="20" t="s">
        <v>231</v>
      </c>
      <c r="E616" s="20" t="s">
        <v>445</v>
      </c>
      <c r="F616" s="20" t="s">
        <v>289</v>
      </c>
      <c r="G616" s="27">
        <f>G617</f>
        <v>21124</v>
      </c>
      <c r="H616" s="177"/>
      <c r="I616" s="115"/>
    </row>
    <row r="617" spans="1:9" ht="15.75" x14ac:dyDescent="0.25">
      <c r="A617" s="25" t="s">
        <v>290</v>
      </c>
      <c r="B617" s="16">
        <v>906</v>
      </c>
      <c r="C617" s="20" t="s">
        <v>280</v>
      </c>
      <c r="D617" s="20" t="s">
        <v>231</v>
      </c>
      <c r="E617" s="20" t="s">
        <v>445</v>
      </c>
      <c r="F617" s="20" t="s">
        <v>291</v>
      </c>
      <c r="G617" s="27">
        <f>21044+80</f>
        <v>21124</v>
      </c>
      <c r="H617" s="106"/>
      <c r="I617" s="125"/>
    </row>
    <row r="618" spans="1:9" ht="47.25" x14ac:dyDescent="0.25">
      <c r="A618" s="31" t="s">
        <v>721</v>
      </c>
      <c r="B618" s="16">
        <v>906</v>
      </c>
      <c r="C618" s="20" t="s">
        <v>280</v>
      </c>
      <c r="D618" s="20" t="s">
        <v>231</v>
      </c>
      <c r="E618" s="20" t="s">
        <v>463</v>
      </c>
      <c r="F618" s="20"/>
      <c r="G618" s="27">
        <f>G619</f>
        <v>355.9</v>
      </c>
      <c r="H618" s="177"/>
      <c r="I618" s="115"/>
    </row>
    <row r="619" spans="1:9" ht="31.5" x14ac:dyDescent="0.25">
      <c r="A619" s="45" t="s">
        <v>722</v>
      </c>
      <c r="B619" s="16">
        <v>906</v>
      </c>
      <c r="C619" s="20" t="s">
        <v>280</v>
      </c>
      <c r="D619" s="20" t="s">
        <v>231</v>
      </c>
      <c r="E619" s="20" t="s">
        <v>723</v>
      </c>
      <c r="F619" s="20"/>
      <c r="G619" s="27">
        <f>G620</f>
        <v>355.9</v>
      </c>
      <c r="H619" s="177"/>
      <c r="I619" s="115"/>
    </row>
    <row r="620" spans="1:9" ht="47.25" x14ac:dyDescent="0.25">
      <c r="A620" s="31" t="s">
        <v>288</v>
      </c>
      <c r="B620" s="16">
        <v>906</v>
      </c>
      <c r="C620" s="20" t="s">
        <v>280</v>
      </c>
      <c r="D620" s="20" t="s">
        <v>231</v>
      </c>
      <c r="E620" s="20" t="s">
        <v>723</v>
      </c>
      <c r="F620" s="20" t="s">
        <v>289</v>
      </c>
      <c r="G620" s="27">
        <f>G621</f>
        <v>355.9</v>
      </c>
      <c r="H620" s="106"/>
      <c r="I620" s="115"/>
    </row>
    <row r="621" spans="1:9" ht="15.75" x14ac:dyDescent="0.25">
      <c r="A621" s="31" t="s">
        <v>290</v>
      </c>
      <c r="B621" s="16">
        <v>906</v>
      </c>
      <c r="C621" s="20" t="s">
        <v>280</v>
      </c>
      <c r="D621" s="20" t="s">
        <v>231</v>
      </c>
      <c r="E621" s="20" t="s">
        <v>723</v>
      </c>
      <c r="F621" s="20" t="s">
        <v>291</v>
      </c>
      <c r="G621" s="27">
        <v>355.9</v>
      </c>
      <c r="H621" s="177"/>
      <c r="I621" s="115"/>
    </row>
    <row r="622" spans="1:9" ht="15.75" x14ac:dyDescent="0.25">
      <c r="A622" s="25" t="s">
        <v>481</v>
      </c>
      <c r="B622" s="16">
        <v>906</v>
      </c>
      <c r="C622" s="20" t="s">
        <v>280</v>
      </c>
      <c r="D622" s="20" t="s">
        <v>231</v>
      </c>
      <c r="E622" s="20" t="s">
        <v>138</v>
      </c>
      <c r="F622" s="20"/>
      <c r="G622" s="27">
        <f>G623</f>
        <v>1582.2</v>
      </c>
      <c r="H622" s="177"/>
      <c r="I622" s="115"/>
    </row>
    <row r="623" spans="1:9" ht="31.5" x14ac:dyDescent="0.25">
      <c r="A623" s="25" t="s">
        <v>201</v>
      </c>
      <c r="B623" s="16">
        <v>906</v>
      </c>
      <c r="C623" s="20" t="s">
        <v>280</v>
      </c>
      <c r="D623" s="20" t="s">
        <v>231</v>
      </c>
      <c r="E623" s="20" t="s">
        <v>202</v>
      </c>
      <c r="F623" s="20"/>
      <c r="G623" s="27">
        <f>G624+G627+G630</f>
        <v>1582.2</v>
      </c>
      <c r="H623" s="177"/>
      <c r="I623" s="115"/>
    </row>
    <row r="624" spans="1:9" ht="63" x14ac:dyDescent="0.25">
      <c r="A624" s="31" t="s">
        <v>305</v>
      </c>
      <c r="B624" s="16">
        <v>906</v>
      </c>
      <c r="C624" s="20" t="s">
        <v>280</v>
      </c>
      <c r="D624" s="20" t="s">
        <v>231</v>
      </c>
      <c r="E624" s="20" t="s">
        <v>306</v>
      </c>
      <c r="F624" s="20"/>
      <c r="G624" s="27">
        <f>G625</f>
        <v>110</v>
      </c>
      <c r="H624" s="177"/>
      <c r="I624" s="115"/>
    </row>
    <row r="625" spans="1:9" ht="47.25" x14ac:dyDescent="0.25">
      <c r="A625" s="25" t="s">
        <v>288</v>
      </c>
      <c r="B625" s="16">
        <v>906</v>
      </c>
      <c r="C625" s="20" t="s">
        <v>280</v>
      </c>
      <c r="D625" s="20" t="s">
        <v>231</v>
      </c>
      <c r="E625" s="20" t="s">
        <v>306</v>
      </c>
      <c r="F625" s="20" t="s">
        <v>289</v>
      </c>
      <c r="G625" s="27">
        <f>G626</f>
        <v>110</v>
      </c>
      <c r="H625" s="177"/>
      <c r="I625" s="115"/>
    </row>
    <row r="626" spans="1:9" ht="15.75" x14ac:dyDescent="0.25">
      <c r="A626" s="25" t="s">
        <v>290</v>
      </c>
      <c r="B626" s="16">
        <v>906</v>
      </c>
      <c r="C626" s="20" t="s">
        <v>280</v>
      </c>
      <c r="D626" s="20" t="s">
        <v>231</v>
      </c>
      <c r="E626" s="20" t="s">
        <v>306</v>
      </c>
      <c r="F626" s="20" t="s">
        <v>291</v>
      </c>
      <c r="G626" s="27">
        <v>110</v>
      </c>
      <c r="H626" s="177"/>
      <c r="I626" s="115"/>
    </row>
    <row r="627" spans="1:9" ht="78.75" x14ac:dyDescent="0.25">
      <c r="A627" s="31" t="s">
        <v>307</v>
      </c>
      <c r="B627" s="16">
        <v>906</v>
      </c>
      <c r="C627" s="20" t="s">
        <v>280</v>
      </c>
      <c r="D627" s="20" t="s">
        <v>231</v>
      </c>
      <c r="E627" s="20" t="s">
        <v>308</v>
      </c>
      <c r="F627" s="20"/>
      <c r="G627" s="27">
        <f>G628</f>
        <v>572.20000000000005</v>
      </c>
      <c r="H627" s="177"/>
      <c r="I627" s="115"/>
    </row>
    <row r="628" spans="1:9" ht="47.25" x14ac:dyDescent="0.25">
      <c r="A628" s="25" t="s">
        <v>288</v>
      </c>
      <c r="B628" s="16">
        <v>906</v>
      </c>
      <c r="C628" s="20" t="s">
        <v>280</v>
      </c>
      <c r="D628" s="20" t="s">
        <v>231</v>
      </c>
      <c r="E628" s="20" t="s">
        <v>308</v>
      </c>
      <c r="F628" s="20" t="s">
        <v>289</v>
      </c>
      <c r="G628" s="27">
        <f>G629</f>
        <v>572.20000000000005</v>
      </c>
      <c r="H628" s="177"/>
      <c r="I628" s="115"/>
    </row>
    <row r="629" spans="1:9" ht="15.75" x14ac:dyDescent="0.25">
      <c r="A629" s="25" t="s">
        <v>290</v>
      </c>
      <c r="B629" s="16">
        <v>906</v>
      </c>
      <c r="C629" s="20" t="s">
        <v>280</v>
      </c>
      <c r="D629" s="20" t="s">
        <v>231</v>
      </c>
      <c r="E629" s="20" t="s">
        <v>308</v>
      </c>
      <c r="F629" s="20" t="s">
        <v>291</v>
      </c>
      <c r="G629" s="27">
        <v>572.20000000000005</v>
      </c>
      <c r="H629" s="177"/>
      <c r="I629" s="115"/>
    </row>
    <row r="630" spans="1:9" ht="110.25" x14ac:dyDescent="0.25">
      <c r="A630" s="31" t="s">
        <v>309</v>
      </c>
      <c r="B630" s="16">
        <v>906</v>
      </c>
      <c r="C630" s="20" t="s">
        <v>280</v>
      </c>
      <c r="D630" s="20" t="s">
        <v>231</v>
      </c>
      <c r="E630" s="20" t="s">
        <v>310</v>
      </c>
      <c r="F630" s="20"/>
      <c r="G630" s="27">
        <f>G631</f>
        <v>900</v>
      </c>
      <c r="H630" s="177"/>
      <c r="I630" s="115"/>
    </row>
    <row r="631" spans="1:9" ht="47.25" x14ac:dyDescent="0.25">
      <c r="A631" s="25" t="s">
        <v>288</v>
      </c>
      <c r="B631" s="16">
        <v>906</v>
      </c>
      <c r="C631" s="20" t="s">
        <v>280</v>
      </c>
      <c r="D631" s="20" t="s">
        <v>231</v>
      </c>
      <c r="E631" s="20" t="s">
        <v>310</v>
      </c>
      <c r="F631" s="20" t="s">
        <v>289</v>
      </c>
      <c r="G631" s="27">
        <f>G632</f>
        <v>900</v>
      </c>
      <c r="H631" s="177"/>
      <c r="I631" s="115"/>
    </row>
    <row r="632" spans="1:9" ht="15.75" x14ac:dyDescent="0.25">
      <c r="A632" s="25" t="s">
        <v>290</v>
      </c>
      <c r="B632" s="16">
        <v>906</v>
      </c>
      <c r="C632" s="20" t="s">
        <v>280</v>
      </c>
      <c r="D632" s="20" t="s">
        <v>231</v>
      </c>
      <c r="E632" s="20" t="s">
        <v>310</v>
      </c>
      <c r="F632" s="20" t="s">
        <v>291</v>
      </c>
      <c r="G632" s="27">
        <v>900</v>
      </c>
      <c r="H632" s="177"/>
      <c r="I632" s="115"/>
    </row>
    <row r="633" spans="1:9" ht="31.5" x14ac:dyDescent="0.25">
      <c r="A633" s="23" t="s">
        <v>482</v>
      </c>
      <c r="B633" s="19">
        <v>906</v>
      </c>
      <c r="C633" s="24" t="s">
        <v>280</v>
      </c>
      <c r="D633" s="24" t="s">
        <v>280</v>
      </c>
      <c r="E633" s="24"/>
      <c r="F633" s="24"/>
      <c r="G633" s="21">
        <f>G634+G639</f>
        <v>4788.6000000000004</v>
      </c>
      <c r="H633" s="177"/>
    </row>
    <row r="634" spans="1:9" ht="47.25" x14ac:dyDescent="0.25">
      <c r="A634" s="25" t="s">
        <v>442</v>
      </c>
      <c r="B634" s="16">
        <v>906</v>
      </c>
      <c r="C634" s="20" t="s">
        <v>280</v>
      </c>
      <c r="D634" s="20" t="s">
        <v>280</v>
      </c>
      <c r="E634" s="20" t="s">
        <v>422</v>
      </c>
      <c r="F634" s="20"/>
      <c r="G634" s="26">
        <f>G635</f>
        <v>3484.8</v>
      </c>
      <c r="H634" s="177"/>
    </row>
    <row r="635" spans="1:9" ht="31.5" x14ac:dyDescent="0.25">
      <c r="A635" s="25" t="s">
        <v>483</v>
      </c>
      <c r="B635" s="16">
        <v>906</v>
      </c>
      <c r="C635" s="20" t="s">
        <v>280</v>
      </c>
      <c r="D635" s="20" t="s">
        <v>484</v>
      </c>
      <c r="E635" s="20" t="s">
        <v>485</v>
      </c>
      <c r="F635" s="20"/>
      <c r="G635" s="26">
        <f>G636</f>
        <v>3484.8</v>
      </c>
      <c r="H635" s="177"/>
    </row>
    <row r="636" spans="1:9" ht="47.25" x14ac:dyDescent="0.25">
      <c r="A636" s="25" t="s">
        <v>486</v>
      </c>
      <c r="B636" s="16">
        <v>906</v>
      </c>
      <c r="C636" s="20" t="s">
        <v>280</v>
      </c>
      <c r="D636" s="20" t="s">
        <v>280</v>
      </c>
      <c r="E636" s="20" t="s">
        <v>487</v>
      </c>
      <c r="F636" s="20"/>
      <c r="G636" s="26">
        <f>G637</f>
        <v>3484.8</v>
      </c>
      <c r="H636" s="177"/>
    </row>
    <row r="637" spans="1:9" ht="47.25" x14ac:dyDescent="0.25">
      <c r="A637" s="25" t="s">
        <v>288</v>
      </c>
      <c r="B637" s="16">
        <v>906</v>
      </c>
      <c r="C637" s="20" t="s">
        <v>280</v>
      </c>
      <c r="D637" s="20" t="s">
        <v>280</v>
      </c>
      <c r="E637" s="20" t="s">
        <v>487</v>
      </c>
      <c r="F637" s="20" t="s">
        <v>289</v>
      </c>
      <c r="G637" s="26">
        <f t="shared" ref="G637:G642" si="3">G638</f>
        <v>3484.8</v>
      </c>
      <c r="H637" s="177"/>
    </row>
    <row r="638" spans="1:9" ht="15.75" x14ac:dyDescent="0.25">
      <c r="A638" s="25" t="s">
        <v>290</v>
      </c>
      <c r="B638" s="16">
        <v>906</v>
      </c>
      <c r="C638" s="20" t="s">
        <v>280</v>
      </c>
      <c r="D638" s="20" t="s">
        <v>280</v>
      </c>
      <c r="E638" s="20" t="s">
        <v>487</v>
      </c>
      <c r="F638" s="20" t="s">
        <v>291</v>
      </c>
      <c r="G638" s="27">
        <v>3484.8</v>
      </c>
      <c r="H638" s="177"/>
    </row>
    <row r="639" spans="1:9" ht="15.75" x14ac:dyDescent="0.25">
      <c r="A639" s="25" t="s">
        <v>137</v>
      </c>
      <c r="B639" s="16">
        <v>906</v>
      </c>
      <c r="C639" s="20" t="s">
        <v>280</v>
      </c>
      <c r="D639" s="20" t="s">
        <v>280</v>
      </c>
      <c r="E639" s="20" t="s">
        <v>138</v>
      </c>
      <c r="F639" s="20"/>
      <c r="G639" s="26">
        <f>G640</f>
        <v>1303.8000000000002</v>
      </c>
      <c r="H639" s="177"/>
    </row>
    <row r="640" spans="1:9" ht="31.5" x14ac:dyDescent="0.25">
      <c r="A640" s="25" t="s">
        <v>201</v>
      </c>
      <c r="B640" s="16">
        <v>906</v>
      </c>
      <c r="C640" s="20" t="s">
        <v>280</v>
      </c>
      <c r="D640" s="20" t="s">
        <v>280</v>
      </c>
      <c r="E640" s="20" t="s">
        <v>202</v>
      </c>
      <c r="F640" s="20"/>
      <c r="G640" s="26">
        <f>G642</f>
        <v>1303.8000000000002</v>
      </c>
      <c r="H640" s="177"/>
    </row>
    <row r="641" spans="1:9" ht="63" hidden="1" x14ac:dyDescent="0.25">
      <c r="A641" s="25" t="s">
        <v>488</v>
      </c>
      <c r="B641" s="16">
        <v>906</v>
      </c>
      <c r="C641" s="20" t="s">
        <v>280</v>
      </c>
      <c r="D641" s="20" t="s">
        <v>280</v>
      </c>
      <c r="E641" s="20" t="s">
        <v>489</v>
      </c>
      <c r="F641" s="20"/>
      <c r="G641" s="26">
        <f t="shared" si="3"/>
        <v>1303.8000000000002</v>
      </c>
      <c r="H641" s="177"/>
    </row>
    <row r="642" spans="1:9" ht="31.5" x14ac:dyDescent="0.25">
      <c r="A642" s="31" t="s">
        <v>490</v>
      </c>
      <c r="B642" s="16">
        <v>906</v>
      </c>
      <c r="C642" s="20" t="s">
        <v>280</v>
      </c>
      <c r="D642" s="20" t="s">
        <v>280</v>
      </c>
      <c r="E642" s="20" t="s">
        <v>491</v>
      </c>
      <c r="F642" s="20"/>
      <c r="G642" s="26">
        <f t="shared" si="3"/>
        <v>1303.8000000000002</v>
      </c>
      <c r="H642" s="177"/>
    </row>
    <row r="643" spans="1:9" ht="47.25" x14ac:dyDescent="0.25">
      <c r="A643" s="25" t="s">
        <v>288</v>
      </c>
      <c r="B643" s="16">
        <v>906</v>
      </c>
      <c r="C643" s="20" t="s">
        <v>280</v>
      </c>
      <c r="D643" s="20" t="s">
        <v>280</v>
      </c>
      <c r="E643" s="20" t="s">
        <v>491</v>
      </c>
      <c r="F643" s="20" t="s">
        <v>289</v>
      </c>
      <c r="G643" s="26">
        <f>G644</f>
        <v>1303.8000000000002</v>
      </c>
      <c r="H643" s="177"/>
    </row>
    <row r="644" spans="1:9" ht="15.75" x14ac:dyDescent="0.25">
      <c r="A644" s="25" t="s">
        <v>290</v>
      </c>
      <c r="B644" s="16">
        <v>906</v>
      </c>
      <c r="C644" s="20" t="s">
        <v>280</v>
      </c>
      <c r="D644" s="20" t="s">
        <v>280</v>
      </c>
      <c r="E644" s="20" t="s">
        <v>491</v>
      </c>
      <c r="F644" s="20" t="s">
        <v>291</v>
      </c>
      <c r="G644" s="27">
        <f>1660.4-356.6</f>
        <v>1303.8000000000002</v>
      </c>
      <c r="H644" s="177"/>
      <c r="I644" s="115"/>
    </row>
    <row r="645" spans="1:9" ht="15.75" x14ac:dyDescent="0.25">
      <c r="A645" s="23" t="s">
        <v>311</v>
      </c>
      <c r="B645" s="19">
        <v>906</v>
      </c>
      <c r="C645" s="24" t="s">
        <v>280</v>
      </c>
      <c r="D645" s="24" t="s">
        <v>235</v>
      </c>
      <c r="E645" s="24"/>
      <c r="F645" s="24"/>
      <c r="G645" s="21">
        <f>G646+G655</f>
        <v>18322.300000000003</v>
      </c>
      <c r="H645" s="177"/>
    </row>
    <row r="646" spans="1:9" ht="47.25" x14ac:dyDescent="0.25">
      <c r="A646" s="25" t="s">
        <v>350</v>
      </c>
      <c r="B646" s="16">
        <v>906</v>
      </c>
      <c r="C646" s="20" t="s">
        <v>280</v>
      </c>
      <c r="D646" s="20" t="s">
        <v>235</v>
      </c>
      <c r="E646" s="20" t="s">
        <v>351</v>
      </c>
      <c r="F646" s="20"/>
      <c r="G646" s="26">
        <f>G647+G650</f>
        <v>20</v>
      </c>
      <c r="H646" s="177"/>
      <c r="I646" s="115"/>
    </row>
    <row r="647" spans="1:9" ht="31.5" hidden="1" x14ac:dyDescent="0.25">
      <c r="A647" s="25" t="s">
        <v>352</v>
      </c>
      <c r="B647" s="16">
        <v>906</v>
      </c>
      <c r="C647" s="20" t="s">
        <v>280</v>
      </c>
      <c r="D647" s="20" t="s">
        <v>235</v>
      </c>
      <c r="E647" s="20" t="s">
        <v>353</v>
      </c>
      <c r="F647" s="20"/>
      <c r="G647" s="26">
        <f>G648</f>
        <v>0</v>
      </c>
      <c r="H647" s="177"/>
    </row>
    <row r="648" spans="1:9" ht="31.5" hidden="1" x14ac:dyDescent="0.25">
      <c r="A648" s="25" t="s">
        <v>147</v>
      </c>
      <c r="B648" s="16">
        <v>906</v>
      </c>
      <c r="C648" s="20" t="s">
        <v>280</v>
      </c>
      <c r="D648" s="20" t="s">
        <v>235</v>
      </c>
      <c r="E648" s="20" t="s">
        <v>353</v>
      </c>
      <c r="F648" s="20" t="s">
        <v>148</v>
      </c>
      <c r="G648" s="26">
        <f>G649</f>
        <v>0</v>
      </c>
      <c r="H648" s="177"/>
    </row>
    <row r="649" spans="1:9" ht="47.25" hidden="1" x14ac:dyDescent="0.25">
      <c r="A649" s="25" t="s">
        <v>149</v>
      </c>
      <c r="B649" s="16">
        <v>906</v>
      </c>
      <c r="C649" s="20" t="s">
        <v>280</v>
      </c>
      <c r="D649" s="20" t="s">
        <v>235</v>
      </c>
      <c r="E649" s="20" t="s">
        <v>353</v>
      </c>
      <c r="F649" s="20" t="s">
        <v>150</v>
      </c>
      <c r="G649" s="26">
        <f>50-50</f>
        <v>0</v>
      </c>
      <c r="H649" s="106"/>
      <c r="I649" s="124"/>
    </row>
    <row r="650" spans="1:9" ht="63" x14ac:dyDescent="0.25">
      <c r="A650" s="25" t="s">
        <v>492</v>
      </c>
      <c r="B650" s="16">
        <v>906</v>
      </c>
      <c r="C650" s="20" t="s">
        <v>280</v>
      </c>
      <c r="D650" s="20" t="s">
        <v>235</v>
      </c>
      <c r="E650" s="20" t="s">
        <v>493</v>
      </c>
      <c r="F650" s="20"/>
      <c r="G650" s="26">
        <f>G651+G653</f>
        <v>20</v>
      </c>
      <c r="H650" s="177"/>
    </row>
    <row r="651" spans="1:9" ht="94.5" x14ac:dyDescent="0.25">
      <c r="A651" s="25" t="s">
        <v>143</v>
      </c>
      <c r="B651" s="16">
        <v>906</v>
      </c>
      <c r="C651" s="20" t="s">
        <v>280</v>
      </c>
      <c r="D651" s="20" t="s">
        <v>235</v>
      </c>
      <c r="E651" s="20" t="s">
        <v>493</v>
      </c>
      <c r="F651" s="20" t="s">
        <v>144</v>
      </c>
      <c r="G651" s="26">
        <f>G652</f>
        <v>5</v>
      </c>
      <c r="H651" s="177"/>
    </row>
    <row r="652" spans="1:9" ht="31.5" x14ac:dyDescent="0.25">
      <c r="A652" s="25" t="s">
        <v>358</v>
      </c>
      <c r="B652" s="16">
        <v>906</v>
      </c>
      <c r="C652" s="20" t="s">
        <v>280</v>
      </c>
      <c r="D652" s="20" t="s">
        <v>235</v>
      </c>
      <c r="E652" s="20" t="s">
        <v>493</v>
      </c>
      <c r="F652" s="20" t="s">
        <v>225</v>
      </c>
      <c r="G652" s="26">
        <v>5</v>
      </c>
      <c r="H652" s="177"/>
    </row>
    <row r="653" spans="1:9" ht="31.5" x14ac:dyDescent="0.25">
      <c r="A653" s="25" t="s">
        <v>147</v>
      </c>
      <c r="B653" s="16">
        <v>906</v>
      </c>
      <c r="C653" s="20" t="s">
        <v>280</v>
      </c>
      <c r="D653" s="20" t="s">
        <v>235</v>
      </c>
      <c r="E653" s="20" t="s">
        <v>493</v>
      </c>
      <c r="F653" s="20" t="s">
        <v>148</v>
      </c>
      <c r="G653" s="26">
        <f>G654</f>
        <v>15</v>
      </c>
      <c r="H653" s="177"/>
    </row>
    <row r="654" spans="1:9" ht="47.25" x14ac:dyDescent="0.25">
      <c r="A654" s="25" t="s">
        <v>149</v>
      </c>
      <c r="B654" s="16">
        <v>906</v>
      </c>
      <c r="C654" s="20" t="s">
        <v>280</v>
      </c>
      <c r="D654" s="20" t="s">
        <v>235</v>
      </c>
      <c r="E654" s="20" t="s">
        <v>493</v>
      </c>
      <c r="F654" s="20" t="s">
        <v>150</v>
      </c>
      <c r="G654" s="26">
        <v>15</v>
      </c>
      <c r="H654" s="177"/>
    </row>
    <row r="655" spans="1:9" ht="15.75" x14ac:dyDescent="0.25">
      <c r="A655" s="25" t="s">
        <v>137</v>
      </c>
      <c r="B655" s="16">
        <v>906</v>
      </c>
      <c r="C655" s="20" t="s">
        <v>280</v>
      </c>
      <c r="D655" s="20" t="s">
        <v>235</v>
      </c>
      <c r="E655" s="20" t="s">
        <v>138</v>
      </c>
      <c r="F655" s="20"/>
      <c r="G655" s="26">
        <f>G656+G662</f>
        <v>18302.300000000003</v>
      </c>
      <c r="H655" s="177"/>
    </row>
    <row r="656" spans="1:9" ht="31.5" x14ac:dyDescent="0.25">
      <c r="A656" s="25" t="s">
        <v>139</v>
      </c>
      <c r="B656" s="16">
        <v>906</v>
      </c>
      <c r="C656" s="20" t="s">
        <v>280</v>
      </c>
      <c r="D656" s="20" t="s">
        <v>235</v>
      </c>
      <c r="E656" s="20" t="s">
        <v>140</v>
      </c>
      <c r="F656" s="20"/>
      <c r="G656" s="26">
        <f>G657</f>
        <v>5138.7</v>
      </c>
      <c r="H656" s="177"/>
    </row>
    <row r="657" spans="1:11" ht="47.25" x14ac:dyDescent="0.25">
      <c r="A657" s="25" t="s">
        <v>141</v>
      </c>
      <c r="B657" s="16">
        <v>906</v>
      </c>
      <c r="C657" s="20" t="s">
        <v>280</v>
      </c>
      <c r="D657" s="20" t="s">
        <v>235</v>
      </c>
      <c r="E657" s="20" t="s">
        <v>142</v>
      </c>
      <c r="F657" s="20"/>
      <c r="G657" s="26">
        <f>G658+G660</f>
        <v>5138.7</v>
      </c>
      <c r="H657" s="177"/>
    </row>
    <row r="658" spans="1:11" ht="94.5" x14ac:dyDescent="0.25">
      <c r="A658" s="25" t="s">
        <v>143</v>
      </c>
      <c r="B658" s="16">
        <v>906</v>
      </c>
      <c r="C658" s="20" t="s">
        <v>280</v>
      </c>
      <c r="D658" s="20" t="s">
        <v>235</v>
      </c>
      <c r="E658" s="20" t="s">
        <v>142</v>
      </c>
      <c r="F658" s="20" t="s">
        <v>144</v>
      </c>
      <c r="G658" s="26">
        <f>G659</f>
        <v>4981.5</v>
      </c>
      <c r="H658" s="177"/>
    </row>
    <row r="659" spans="1:11" ht="31.5" x14ac:dyDescent="0.25">
      <c r="A659" s="25" t="s">
        <v>145</v>
      </c>
      <c r="B659" s="16">
        <v>906</v>
      </c>
      <c r="C659" s="20" t="s">
        <v>280</v>
      </c>
      <c r="D659" s="20" t="s">
        <v>235</v>
      </c>
      <c r="E659" s="20" t="s">
        <v>142</v>
      </c>
      <c r="F659" s="20" t="s">
        <v>146</v>
      </c>
      <c r="G659" s="156">
        <f>4975.7+5.8</f>
        <v>4981.5</v>
      </c>
      <c r="H659" s="157" t="s">
        <v>747</v>
      </c>
    </row>
    <row r="660" spans="1:11" ht="31.5" x14ac:dyDescent="0.25">
      <c r="A660" s="25" t="s">
        <v>147</v>
      </c>
      <c r="B660" s="16">
        <v>906</v>
      </c>
      <c r="C660" s="20" t="s">
        <v>280</v>
      </c>
      <c r="D660" s="20" t="s">
        <v>235</v>
      </c>
      <c r="E660" s="20" t="s">
        <v>142</v>
      </c>
      <c r="F660" s="20" t="s">
        <v>148</v>
      </c>
      <c r="G660" s="26">
        <f>G661</f>
        <v>157.19999999999999</v>
      </c>
      <c r="H660" s="177"/>
    </row>
    <row r="661" spans="1:11" ht="47.25" x14ac:dyDescent="0.25">
      <c r="A661" s="25" t="s">
        <v>149</v>
      </c>
      <c r="B661" s="16">
        <v>906</v>
      </c>
      <c r="C661" s="20" t="s">
        <v>280</v>
      </c>
      <c r="D661" s="20" t="s">
        <v>235</v>
      </c>
      <c r="E661" s="20" t="s">
        <v>142</v>
      </c>
      <c r="F661" s="20" t="s">
        <v>150</v>
      </c>
      <c r="G661" s="158">
        <f>163-5.8</f>
        <v>157.19999999999999</v>
      </c>
      <c r="H661" s="157" t="s">
        <v>746</v>
      </c>
    </row>
    <row r="662" spans="1:11" ht="15.75" x14ac:dyDescent="0.25">
      <c r="A662" s="25" t="s">
        <v>157</v>
      </c>
      <c r="B662" s="16">
        <v>906</v>
      </c>
      <c r="C662" s="20" t="s">
        <v>280</v>
      </c>
      <c r="D662" s="20" t="s">
        <v>235</v>
      </c>
      <c r="E662" s="20" t="s">
        <v>158</v>
      </c>
      <c r="F662" s="20"/>
      <c r="G662" s="26">
        <f>G666+G663</f>
        <v>13163.600000000002</v>
      </c>
      <c r="H662" s="177"/>
    </row>
    <row r="663" spans="1:11" ht="15.75" x14ac:dyDescent="0.25">
      <c r="A663" s="25" t="s">
        <v>494</v>
      </c>
      <c r="B663" s="16">
        <v>906</v>
      </c>
      <c r="C663" s="20" t="s">
        <v>280</v>
      </c>
      <c r="D663" s="20" t="s">
        <v>235</v>
      </c>
      <c r="E663" s="20" t="s">
        <v>495</v>
      </c>
      <c r="F663" s="20"/>
      <c r="G663" s="26">
        <f>G664</f>
        <v>375</v>
      </c>
      <c r="H663" s="177"/>
    </row>
    <row r="664" spans="1:11" ht="31.5" x14ac:dyDescent="0.25">
      <c r="A664" s="25" t="s">
        <v>147</v>
      </c>
      <c r="B664" s="16">
        <v>906</v>
      </c>
      <c r="C664" s="20" t="s">
        <v>280</v>
      </c>
      <c r="D664" s="20" t="s">
        <v>235</v>
      </c>
      <c r="E664" s="20" t="s">
        <v>495</v>
      </c>
      <c r="F664" s="20" t="s">
        <v>148</v>
      </c>
      <c r="G664" s="26">
        <f>G665</f>
        <v>375</v>
      </c>
      <c r="H664" s="177"/>
    </row>
    <row r="665" spans="1:11" ht="47.25" x14ac:dyDescent="0.25">
      <c r="A665" s="25" t="s">
        <v>149</v>
      </c>
      <c r="B665" s="16">
        <v>906</v>
      </c>
      <c r="C665" s="20" t="s">
        <v>280</v>
      </c>
      <c r="D665" s="20" t="s">
        <v>235</v>
      </c>
      <c r="E665" s="20" t="s">
        <v>495</v>
      </c>
      <c r="F665" s="20" t="s">
        <v>150</v>
      </c>
      <c r="G665" s="162">
        <f>206.3+143.7+25</f>
        <v>375</v>
      </c>
      <c r="H665" s="157" t="s">
        <v>763</v>
      </c>
      <c r="I665" s="115"/>
    </row>
    <row r="666" spans="1:11" ht="31.5" x14ac:dyDescent="0.25">
      <c r="A666" s="25" t="s">
        <v>356</v>
      </c>
      <c r="B666" s="16">
        <v>906</v>
      </c>
      <c r="C666" s="20" t="s">
        <v>280</v>
      </c>
      <c r="D666" s="20" t="s">
        <v>235</v>
      </c>
      <c r="E666" s="20" t="s">
        <v>357</v>
      </c>
      <c r="F666" s="20"/>
      <c r="G666" s="26">
        <f>G667+G669+G671</f>
        <v>12788.600000000002</v>
      </c>
      <c r="H666" s="177"/>
      <c r="J666" s="394"/>
      <c r="K666" s="394"/>
    </row>
    <row r="667" spans="1:11" ht="94.5" x14ac:dyDescent="0.25">
      <c r="A667" s="25" t="s">
        <v>143</v>
      </c>
      <c r="B667" s="16">
        <v>906</v>
      </c>
      <c r="C667" s="20" t="s">
        <v>280</v>
      </c>
      <c r="D667" s="20" t="s">
        <v>235</v>
      </c>
      <c r="E667" s="20" t="s">
        <v>357</v>
      </c>
      <c r="F667" s="20" t="s">
        <v>144</v>
      </c>
      <c r="G667" s="26">
        <f>G668</f>
        <v>11519.300000000001</v>
      </c>
      <c r="H667" s="177"/>
      <c r="J667" s="394"/>
      <c r="K667" s="394"/>
    </row>
    <row r="668" spans="1:11" ht="31.5" x14ac:dyDescent="0.25">
      <c r="A668" s="25" t="s">
        <v>358</v>
      </c>
      <c r="B668" s="16">
        <v>906</v>
      </c>
      <c r="C668" s="20" t="s">
        <v>280</v>
      </c>
      <c r="D668" s="20" t="s">
        <v>235</v>
      </c>
      <c r="E668" s="20" t="s">
        <v>357</v>
      </c>
      <c r="F668" s="20" t="s">
        <v>225</v>
      </c>
      <c r="G668" s="27">
        <f>11988.7-469.4</f>
        <v>11519.300000000001</v>
      </c>
      <c r="H668" s="106"/>
      <c r="I668" s="124"/>
      <c r="J668" s="394"/>
      <c r="K668" s="394"/>
    </row>
    <row r="669" spans="1:11" ht="31.5" x14ac:dyDescent="0.25">
      <c r="A669" s="25" t="s">
        <v>147</v>
      </c>
      <c r="B669" s="16">
        <v>906</v>
      </c>
      <c r="C669" s="20" t="s">
        <v>280</v>
      </c>
      <c r="D669" s="20" t="s">
        <v>235</v>
      </c>
      <c r="E669" s="20" t="s">
        <v>357</v>
      </c>
      <c r="F669" s="20" t="s">
        <v>148</v>
      </c>
      <c r="G669" s="26">
        <f>G670</f>
        <v>1264.0999999999999</v>
      </c>
      <c r="H669" s="177"/>
      <c r="J669" s="394"/>
      <c r="K669" s="394"/>
    </row>
    <row r="670" spans="1:11" ht="47.25" x14ac:dyDescent="0.25">
      <c r="A670" s="25" t="s">
        <v>149</v>
      </c>
      <c r="B670" s="16">
        <v>906</v>
      </c>
      <c r="C670" s="20" t="s">
        <v>280</v>
      </c>
      <c r="D670" s="20" t="s">
        <v>235</v>
      </c>
      <c r="E670" s="20" t="s">
        <v>357</v>
      </c>
      <c r="F670" s="20" t="s">
        <v>150</v>
      </c>
      <c r="G670" s="26">
        <f>1416.8-152.7</f>
        <v>1264.0999999999999</v>
      </c>
      <c r="H670" s="106"/>
      <c r="I670" s="124"/>
      <c r="J670" s="394"/>
      <c r="K670" s="394"/>
    </row>
    <row r="671" spans="1:11" ht="15.75" x14ac:dyDescent="0.25">
      <c r="A671" s="25" t="s">
        <v>151</v>
      </c>
      <c r="B671" s="16">
        <v>906</v>
      </c>
      <c r="C671" s="20" t="s">
        <v>280</v>
      </c>
      <c r="D671" s="20" t="s">
        <v>235</v>
      </c>
      <c r="E671" s="20" t="s">
        <v>357</v>
      </c>
      <c r="F671" s="20" t="s">
        <v>161</v>
      </c>
      <c r="G671" s="26">
        <f>G672</f>
        <v>5.2</v>
      </c>
      <c r="H671" s="177"/>
      <c r="J671" s="394"/>
      <c r="K671" s="394"/>
    </row>
    <row r="672" spans="1:11" ht="15.75" x14ac:dyDescent="0.25">
      <c r="A672" s="25" t="s">
        <v>584</v>
      </c>
      <c r="B672" s="16">
        <v>906</v>
      </c>
      <c r="C672" s="20" t="s">
        <v>280</v>
      </c>
      <c r="D672" s="20" t="s">
        <v>235</v>
      </c>
      <c r="E672" s="20" t="s">
        <v>357</v>
      </c>
      <c r="F672" s="20" t="s">
        <v>154</v>
      </c>
      <c r="G672" s="26">
        <f>7-1.8</f>
        <v>5.2</v>
      </c>
      <c r="H672" s="106"/>
      <c r="I672" s="124"/>
      <c r="J672" s="394"/>
      <c r="K672" s="394"/>
    </row>
    <row r="673" spans="1:10" ht="47.25" x14ac:dyDescent="0.25">
      <c r="A673" s="19" t="s">
        <v>496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7"/>
    </row>
    <row r="674" spans="1:10" ht="15.75" x14ac:dyDescent="0.25">
      <c r="A674" s="23" t="s">
        <v>279</v>
      </c>
      <c r="B674" s="19">
        <v>907</v>
      </c>
      <c r="C674" s="24" t="s">
        <v>484</v>
      </c>
      <c r="D674" s="24"/>
      <c r="E674" s="24"/>
      <c r="F674" s="24"/>
      <c r="G674" s="21">
        <f>G675</f>
        <v>11485.1</v>
      </c>
      <c r="H674" s="177"/>
    </row>
    <row r="675" spans="1:10" ht="15.75" x14ac:dyDescent="0.25">
      <c r="A675" s="23" t="s">
        <v>281</v>
      </c>
      <c r="B675" s="19">
        <v>907</v>
      </c>
      <c r="C675" s="24" t="s">
        <v>280</v>
      </c>
      <c r="D675" s="24" t="s">
        <v>231</v>
      </c>
      <c r="E675" s="24"/>
      <c r="F675" s="24"/>
      <c r="G675" s="21">
        <f>G676+G693</f>
        <v>11485.1</v>
      </c>
      <c r="H675" s="177"/>
      <c r="J675" s="116"/>
    </row>
    <row r="676" spans="1:10" ht="47.25" x14ac:dyDescent="0.25">
      <c r="A676" s="25" t="s">
        <v>497</v>
      </c>
      <c r="B676" s="16">
        <v>907</v>
      </c>
      <c r="C676" s="20" t="s">
        <v>280</v>
      </c>
      <c r="D676" s="20" t="s">
        <v>231</v>
      </c>
      <c r="E676" s="20" t="s">
        <v>498</v>
      </c>
      <c r="F676" s="20"/>
      <c r="G676" s="26">
        <f>G677</f>
        <v>10758</v>
      </c>
      <c r="H676" s="177"/>
    </row>
    <row r="677" spans="1:10" ht="47.25" x14ac:dyDescent="0.25">
      <c r="A677" s="25" t="s">
        <v>499</v>
      </c>
      <c r="B677" s="16">
        <v>907</v>
      </c>
      <c r="C677" s="20" t="s">
        <v>280</v>
      </c>
      <c r="D677" s="20" t="s">
        <v>231</v>
      </c>
      <c r="E677" s="20" t="s">
        <v>500</v>
      </c>
      <c r="F677" s="20"/>
      <c r="G677" s="26">
        <f>G678+G681+G684+G690+G687</f>
        <v>10758</v>
      </c>
      <c r="H677" s="177"/>
    </row>
    <row r="678" spans="1:10" ht="47.25" x14ac:dyDescent="0.25">
      <c r="A678" s="25" t="s">
        <v>286</v>
      </c>
      <c r="B678" s="16">
        <v>907</v>
      </c>
      <c r="C678" s="20" t="s">
        <v>280</v>
      </c>
      <c r="D678" s="20" t="s">
        <v>231</v>
      </c>
      <c r="E678" s="20" t="s">
        <v>501</v>
      </c>
      <c r="F678" s="20"/>
      <c r="G678" s="26">
        <f>G679</f>
        <v>10722</v>
      </c>
      <c r="H678" s="177"/>
    </row>
    <row r="679" spans="1:10" ht="47.25" x14ac:dyDescent="0.25">
      <c r="A679" s="25" t="s">
        <v>288</v>
      </c>
      <c r="B679" s="16">
        <v>907</v>
      </c>
      <c r="C679" s="20" t="s">
        <v>280</v>
      </c>
      <c r="D679" s="20" t="s">
        <v>231</v>
      </c>
      <c r="E679" s="20" t="s">
        <v>501</v>
      </c>
      <c r="F679" s="20" t="s">
        <v>289</v>
      </c>
      <c r="G679" s="26">
        <f>G680</f>
        <v>10722</v>
      </c>
      <c r="H679" s="177"/>
    </row>
    <row r="680" spans="1:10" ht="15.75" x14ac:dyDescent="0.25">
      <c r="A680" s="25" t="s">
        <v>290</v>
      </c>
      <c r="B680" s="16">
        <v>907</v>
      </c>
      <c r="C680" s="20" t="s">
        <v>280</v>
      </c>
      <c r="D680" s="20" t="s">
        <v>231</v>
      </c>
      <c r="E680" s="20" t="s">
        <v>501</v>
      </c>
      <c r="F680" s="20" t="s">
        <v>291</v>
      </c>
      <c r="G680" s="27">
        <f>10500+753.9-531.9</f>
        <v>10722</v>
      </c>
      <c r="H680" s="106"/>
      <c r="I680" s="125"/>
    </row>
    <row r="681" spans="1:10" ht="47.25" hidden="1" x14ac:dyDescent="0.25">
      <c r="A681" s="25" t="s">
        <v>294</v>
      </c>
      <c r="B681" s="16">
        <v>907</v>
      </c>
      <c r="C681" s="20" t="s">
        <v>280</v>
      </c>
      <c r="D681" s="20" t="s">
        <v>229</v>
      </c>
      <c r="E681" s="20" t="s">
        <v>502</v>
      </c>
      <c r="F681" s="20"/>
      <c r="G681" s="26">
        <f>G682</f>
        <v>0</v>
      </c>
      <c r="H681" s="177"/>
    </row>
    <row r="682" spans="1:10" ht="47.25" hidden="1" x14ac:dyDescent="0.25">
      <c r="A682" s="25" t="s">
        <v>288</v>
      </c>
      <c r="B682" s="16">
        <v>907</v>
      </c>
      <c r="C682" s="20" t="s">
        <v>280</v>
      </c>
      <c r="D682" s="20" t="s">
        <v>229</v>
      </c>
      <c r="E682" s="20" t="s">
        <v>502</v>
      </c>
      <c r="F682" s="20" t="s">
        <v>289</v>
      </c>
      <c r="G682" s="26">
        <f>G683</f>
        <v>0</v>
      </c>
      <c r="H682" s="177"/>
    </row>
    <row r="683" spans="1:10" ht="15.75" hidden="1" x14ac:dyDescent="0.25">
      <c r="A683" s="25" t="s">
        <v>290</v>
      </c>
      <c r="B683" s="16">
        <v>907</v>
      </c>
      <c r="C683" s="20" t="s">
        <v>280</v>
      </c>
      <c r="D683" s="20" t="s">
        <v>229</v>
      </c>
      <c r="E683" s="20" t="s">
        <v>502</v>
      </c>
      <c r="F683" s="20" t="s">
        <v>291</v>
      </c>
      <c r="G683" s="26">
        <v>0</v>
      </c>
      <c r="H683" s="177"/>
    </row>
    <row r="684" spans="1:10" ht="31.5" hidden="1" x14ac:dyDescent="0.25">
      <c r="A684" s="25" t="s">
        <v>296</v>
      </c>
      <c r="B684" s="16">
        <v>907</v>
      </c>
      <c r="C684" s="20" t="s">
        <v>280</v>
      </c>
      <c r="D684" s="20" t="s">
        <v>229</v>
      </c>
      <c r="E684" s="20" t="s">
        <v>503</v>
      </c>
      <c r="F684" s="20"/>
      <c r="G684" s="26">
        <f>G685</f>
        <v>0</v>
      </c>
      <c r="H684" s="177"/>
    </row>
    <row r="685" spans="1:10" ht="47.25" hidden="1" x14ac:dyDescent="0.25">
      <c r="A685" s="25" t="s">
        <v>288</v>
      </c>
      <c r="B685" s="16">
        <v>907</v>
      </c>
      <c r="C685" s="20" t="s">
        <v>280</v>
      </c>
      <c r="D685" s="20" t="s">
        <v>229</v>
      </c>
      <c r="E685" s="20" t="s">
        <v>503</v>
      </c>
      <c r="F685" s="20" t="s">
        <v>289</v>
      </c>
      <c r="G685" s="26">
        <f>G686</f>
        <v>0</v>
      </c>
      <c r="H685" s="177"/>
    </row>
    <row r="686" spans="1:10" ht="15.75" hidden="1" x14ac:dyDescent="0.25">
      <c r="A686" s="25" t="s">
        <v>290</v>
      </c>
      <c r="B686" s="16">
        <v>907</v>
      </c>
      <c r="C686" s="20" t="s">
        <v>280</v>
      </c>
      <c r="D686" s="20" t="s">
        <v>229</v>
      </c>
      <c r="E686" s="20" t="s">
        <v>503</v>
      </c>
      <c r="F686" s="20" t="s">
        <v>291</v>
      </c>
      <c r="G686" s="26">
        <v>0</v>
      </c>
      <c r="H686" s="177"/>
    </row>
    <row r="687" spans="1:10" ht="47.25" x14ac:dyDescent="0.25">
      <c r="A687" s="25" t="s">
        <v>298</v>
      </c>
      <c r="B687" s="16">
        <v>907</v>
      </c>
      <c r="C687" s="20" t="s">
        <v>280</v>
      </c>
      <c r="D687" s="20" t="s">
        <v>231</v>
      </c>
      <c r="E687" s="20" t="s">
        <v>504</v>
      </c>
      <c r="F687" s="20"/>
      <c r="G687" s="26">
        <f>G688</f>
        <v>36</v>
      </c>
      <c r="H687" s="177"/>
    </row>
    <row r="688" spans="1:10" ht="47.25" x14ac:dyDescent="0.25">
      <c r="A688" s="25" t="s">
        <v>288</v>
      </c>
      <c r="B688" s="16">
        <v>907</v>
      </c>
      <c r="C688" s="20" t="s">
        <v>280</v>
      </c>
      <c r="D688" s="20" t="s">
        <v>231</v>
      </c>
      <c r="E688" s="20" t="s">
        <v>504</v>
      </c>
      <c r="F688" s="20" t="s">
        <v>289</v>
      </c>
      <c r="G688" s="26">
        <f>G689</f>
        <v>36</v>
      </c>
      <c r="H688" s="177"/>
    </row>
    <row r="689" spans="1:10" ht="15.75" x14ac:dyDescent="0.25">
      <c r="A689" s="25" t="s">
        <v>290</v>
      </c>
      <c r="B689" s="16">
        <v>907</v>
      </c>
      <c r="C689" s="20" t="s">
        <v>280</v>
      </c>
      <c r="D689" s="20" t="s">
        <v>231</v>
      </c>
      <c r="E689" s="20" t="s">
        <v>504</v>
      </c>
      <c r="F689" s="20" t="s">
        <v>291</v>
      </c>
      <c r="G689" s="26">
        <v>36</v>
      </c>
      <c r="H689" s="177"/>
    </row>
    <row r="690" spans="1:10" ht="31.5" hidden="1" x14ac:dyDescent="0.25">
      <c r="A690" s="25" t="s">
        <v>300</v>
      </c>
      <c r="B690" s="16">
        <v>907</v>
      </c>
      <c r="C690" s="20" t="s">
        <v>280</v>
      </c>
      <c r="D690" s="20" t="s">
        <v>229</v>
      </c>
      <c r="E690" s="20" t="s">
        <v>505</v>
      </c>
      <c r="F690" s="20"/>
      <c r="G690" s="26">
        <f>G691</f>
        <v>0</v>
      </c>
      <c r="H690" s="177"/>
    </row>
    <row r="691" spans="1:10" ht="47.25" hidden="1" x14ac:dyDescent="0.25">
      <c r="A691" s="25" t="s">
        <v>288</v>
      </c>
      <c r="B691" s="16">
        <v>907</v>
      </c>
      <c r="C691" s="20" t="s">
        <v>280</v>
      </c>
      <c r="D691" s="20" t="s">
        <v>229</v>
      </c>
      <c r="E691" s="20" t="s">
        <v>505</v>
      </c>
      <c r="F691" s="20" t="s">
        <v>289</v>
      </c>
      <c r="G691" s="26">
        <f>G692</f>
        <v>0</v>
      </c>
      <c r="H691" s="177"/>
    </row>
    <row r="692" spans="1:10" ht="15.75" hidden="1" x14ac:dyDescent="0.25">
      <c r="A692" s="25" t="s">
        <v>290</v>
      </c>
      <c r="B692" s="16">
        <v>907</v>
      </c>
      <c r="C692" s="20" t="s">
        <v>280</v>
      </c>
      <c r="D692" s="20" t="s">
        <v>229</v>
      </c>
      <c r="E692" s="20" t="s">
        <v>505</v>
      </c>
      <c r="F692" s="20" t="s">
        <v>291</v>
      </c>
      <c r="G692" s="26">
        <v>0</v>
      </c>
      <c r="H692" s="177"/>
    </row>
    <row r="693" spans="1:10" ht="15.75" x14ac:dyDescent="0.25">
      <c r="A693" s="25" t="s">
        <v>137</v>
      </c>
      <c r="B693" s="16">
        <v>907</v>
      </c>
      <c r="C693" s="20" t="s">
        <v>280</v>
      </c>
      <c r="D693" s="20" t="s">
        <v>231</v>
      </c>
      <c r="E693" s="20" t="s">
        <v>138</v>
      </c>
      <c r="F693" s="20"/>
      <c r="G693" s="26">
        <f>G694</f>
        <v>727.1</v>
      </c>
      <c r="H693" s="177"/>
    </row>
    <row r="694" spans="1:10" ht="31.5" x14ac:dyDescent="0.25">
      <c r="A694" s="25" t="s">
        <v>201</v>
      </c>
      <c r="B694" s="16">
        <v>907</v>
      </c>
      <c r="C694" s="20" t="s">
        <v>280</v>
      </c>
      <c r="D694" s="20" t="s">
        <v>231</v>
      </c>
      <c r="E694" s="20" t="s">
        <v>202</v>
      </c>
      <c r="F694" s="20"/>
      <c r="G694" s="26">
        <f>G695+G698+G701</f>
        <v>727.1</v>
      </c>
      <c r="H694" s="177"/>
    </row>
    <row r="695" spans="1:10" ht="63" x14ac:dyDescent="0.25">
      <c r="A695" s="31" t="s">
        <v>305</v>
      </c>
      <c r="B695" s="16">
        <v>907</v>
      </c>
      <c r="C695" s="20" t="s">
        <v>280</v>
      </c>
      <c r="D695" s="20" t="s">
        <v>231</v>
      </c>
      <c r="E695" s="20" t="s">
        <v>306</v>
      </c>
      <c r="F695" s="20"/>
      <c r="G695" s="26">
        <f>G696</f>
        <v>50</v>
      </c>
      <c r="H695" s="177"/>
    </row>
    <row r="696" spans="1:10" ht="47.25" x14ac:dyDescent="0.25">
      <c r="A696" s="25" t="s">
        <v>288</v>
      </c>
      <c r="B696" s="16">
        <v>907</v>
      </c>
      <c r="C696" s="20" t="s">
        <v>280</v>
      </c>
      <c r="D696" s="20" t="s">
        <v>231</v>
      </c>
      <c r="E696" s="20" t="s">
        <v>306</v>
      </c>
      <c r="F696" s="20" t="s">
        <v>289</v>
      </c>
      <c r="G696" s="26">
        <f>G697</f>
        <v>50</v>
      </c>
      <c r="H696" s="177"/>
    </row>
    <row r="697" spans="1:10" ht="15.75" x14ac:dyDescent="0.25">
      <c r="A697" s="25" t="s">
        <v>290</v>
      </c>
      <c r="B697" s="16">
        <v>907</v>
      </c>
      <c r="C697" s="20" t="s">
        <v>280</v>
      </c>
      <c r="D697" s="20" t="s">
        <v>231</v>
      </c>
      <c r="E697" s="20" t="s">
        <v>306</v>
      </c>
      <c r="F697" s="20" t="s">
        <v>291</v>
      </c>
      <c r="G697" s="26">
        <v>50</v>
      </c>
      <c r="H697" s="177"/>
    </row>
    <row r="698" spans="1:10" ht="78.75" x14ac:dyDescent="0.25">
      <c r="A698" s="31" t="s">
        <v>307</v>
      </c>
      <c r="B698" s="16">
        <v>907</v>
      </c>
      <c r="C698" s="20" t="s">
        <v>280</v>
      </c>
      <c r="D698" s="20" t="s">
        <v>231</v>
      </c>
      <c r="E698" s="20" t="s">
        <v>308</v>
      </c>
      <c r="F698" s="20"/>
      <c r="G698" s="26">
        <f>G699</f>
        <v>197.3</v>
      </c>
      <c r="H698" s="177"/>
    </row>
    <row r="699" spans="1:10" ht="47.25" x14ac:dyDescent="0.25">
      <c r="A699" s="25" t="s">
        <v>288</v>
      </c>
      <c r="B699" s="16">
        <v>907</v>
      </c>
      <c r="C699" s="20" t="s">
        <v>280</v>
      </c>
      <c r="D699" s="20" t="s">
        <v>231</v>
      </c>
      <c r="E699" s="20" t="s">
        <v>308</v>
      </c>
      <c r="F699" s="20" t="s">
        <v>289</v>
      </c>
      <c r="G699" s="26">
        <f>G700</f>
        <v>197.3</v>
      </c>
      <c r="H699" s="177"/>
    </row>
    <row r="700" spans="1:10" ht="15.75" x14ac:dyDescent="0.25">
      <c r="A700" s="25" t="s">
        <v>290</v>
      </c>
      <c r="B700" s="16">
        <v>907</v>
      </c>
      <c r="C700" s="20" t="s">
        <v>280</v>
      </c>
      <c r="D700" s="20" t="s">
        <v>231</v>
      </c>
      <c r="E700" s="20" t="s">
        <v>308</v>
      </c>
      <c r="F700" s="20" t="s">
        <v>291</v>
      </c>
      <c r="G700" s="26">
        <f>200-2.7</f>
        <v>197.3</v>
      </c>
      <c r="H700" s="177"/>
      <c r="I700" s="115"/>
      <c r="J700" s="116"/>
    </row>
    <row r="701" spans="1:10" ht="110.25" x14ac:dyDescent="0.25">
      <c r="A701" s="31" t="s">
        <v>480</v>
      </c>
      <c r="B701" s="16">
        <v>907</v>
      </c>
      <c r="C701" s="20" t="s">
        <v>280</v>
      </c>
      <c r="D701" s="20" t="s">
        <v>231</v>
      </c>
      <c r="E701" s="20" t="s">
        <v>310</v>
      </c>
      <c r="F701" s="20"/>
      <c r="G701" s="26">
        <f>G702</f>
        <v>479.8</v>
      </c>
      <c r="H701" s="177"/>
    </row>
    <row r="702" spans="1:10" ht="47.25" x14ac:dyDescent="0.25">
      <c r="A702" s="25" t="s">
        <v>288</v>
      </c>
      <c r="B702" s="16">
        <v>907</v>
      </c>
      <c r="C702" s="20" t="s">
        <v>280</v>
      </c>
      <c r="D702" s="20" t="s">
        <v>231</v>
      </c>
      <c r="E702" s="20" t="s">
        <v>310</v>
      </c>
      <c r="F702" s="20" t="s">
        <v>289</v>
      </c>
      <c r="G702" s="26">
        <f>G703</f>
        <v>479.8</v>
      </c>
      <c r="H702" s="177"/>
    </row>
    <row r="703" spans="1:10" ht="15.75" x14ac:dyDescent="0.25">
      <c r="A703" s="25" t="s">
        <v>290</v>
      </c>
      <c r="B703" s="16">
        <v>907</v>
      </c>
      <c r="C703" s="20" t="s">
        <v>280</v>
      </c>
      <c r="D703" s="20" t="s">
        <v>231</v>
      </c>
      <c r="E703" s="20" t="s">
        <v>310</v>
      </c>
      <c r="F703" s="20" t="s">
        <v>291</v>
      </c>
      <c r="G703" s="26">
        <f>500-20.2</f>
        <v>479.8</v>
      </c>
      <c r="H703" s="177"/>
      <c r="I703" s="115"/>
    </row>
    <row r="704" spans="1:10" ht="15.75" x14ac:dyDescent="0.25">
      <c r="A704" s="23" t="s">
        <v>506</v>
      </c>
      <c r="B704" s="19">
        <v>907</v>
      </c>
      <c r="C704" s="24" t="s">
        <v>507</v>
      </c>
      <c r="D704" s="20"/>
      <c r="E704" s="20"/>
      <c r="F704" s="20"/>
      <c r="G704" s="21">
        <f>G705+G725</f>
        <v>34702.699999999997</v>
      </c>
      <c r="H704" s="177"/>
    </row>
    <row r="705" spans="1:9" ht="15.75" x14ac:dyDescent="0.25">
      <c r="A705" s="23" t="s">
        <v>508</v>
      </c>
      <c r="B705" s="19">
        <v>907</v>
      </c>
      <c r="C705" s="24" t="s">
        <v>507</v>
      </c>
      <c r="D705" s="24" t="s">
        <v>134</v>
      </c>
      <c r="E705" s="20"/>
      <c r="F705" s="20"/>
      <c r="G705" s="21">
        <f>G706+G721</f>
        <v>23173.9</v>
      </c>
      <c r="H705" s="177"/>
    </row>
    <row r="706" spans="1:9" ht="47.25" x14ac:dyDescent="0.25">
      <c r="A706" s="25" t="s">
        <v>497</v>
      </c>
      <c r="B706" s="16">
        <v>907</v>
      </c>
      <c r="C706" s="20" t="s">
        <v>507</v>
      </c>
      <c r="D706" s="20" t="s">
        <v>134</v>
      </c>
      <c r="E706" s="20" t="s">
        <v>498</v>
      </c>
      <c r="F706" s="20"/>
      <c r="G706" s="26">
        <f>G707</f>
        <v>22673.9</v>
      </c>
      <c r="H706" s="177"/>
    </row>
    <row r="707" spans="1:9" ht="47.25" x14ac:dyDescent="0.25">
      <c r="A707" s="25" t="s">
        <v>509</v>
      </c>
      <c r="B707" s="16">
        <v>907</v>
      </c>
      <c r="C707" s="20" t="s">
        <v>507</v>
      </c>
      <c r="D707" s="20" t="s">
        <v>134</v>
      </c>
      <c r="E707" s="20" t="s">
        <v>510</v>
      </c>
      <c r="F707" s="20"/>
      <c r="G707" s="26">
        <f>G708+G711+G714+G717</f>
        <v>22673.9</v>
      </c>
      <c r="H707" s="177"/>
    </row>
    <row r="708" spans="1:9" ht="47.25" x14ac:dyDescent="0.25">
      <c r="A708" s="25" t="s">
        <v>511</v>
      </c>
      <c r="B708" s="16">
        <v>907</v>
      </c>
      <c r="C708" s="20" t="s">
        <v>507</v>
      </c>
      <c r="D708" s="20" t="s">
        <v>134</v>
      </c>
      <c r="E708" s="20" t="s">
        <v>512</v>
      </c>
      <c r="F708" s="20"/>
      <c r="G708" s="26">
        <f>G709</f>
        <v>22376.400000000001</v>
      </c>
      <c r="H708" s="177"/>
    </row>
    <row r="709" spans="1:9" ht="47.25" x14ac:dyDescent="0.25">
      <c r="A709" s="25" t="s">
        <v>288</v>
      </c>
      <c r="B709" s="16">
        <v>907</v>
      </c>
      <c r="C709" s="20" t="s">
        <v>507</v>
      </c>
      <c r="D709" s="20" t="s">
        <v>134</v>
      </c>
      <c r="E709" s="20" t="s">
        <v>512</v>
      </c>
      <c r="F709" s="20" t="s">
        <v>289</v>
      </c>
      <c r="G709" s="26">
        <f>G710</f>
        <v>22376.400000000001</v>
      </c>
      <c r="H709" s="177"/>
    </row>
    <row r="710" spans="1:9" ht="15.75" x14ac:dyDescent="0.25">
      <c r="A710" s="25" t="s">
        <v>290</v>
      </c>
      <c r="B710" s="16">
        <v>907</v>
      </c>
      <c r="C710" s="20" t="s">
        <v>507</v>
      </c>
      <c r="D710" s="20" t="s">
        <v>134</v>
      </c>
      <c r="E710" s="20" t="s">
        <v>512</v>
      </c>
      <c r="F710" s="20" t="s">
        <v>291</v>
      </c>
      <c r="G710" s="163">
        <f>10890+1490.1+9887.3-199+308</f>
        <v>22376.400000000001</v>
      </c>
      <c r="H710" s="106" t="s">
        <v>756</v>
      </c>
      <c r="I710" s="125"/>
    </row>
    <row r="711" spans="1:9" ht="47.25" x14ac:dyDescent="0.25">
      <c r="A711" s="25" t="s">
        <v>294</v>
      </c>
      <c r="B711" s="16">
        <v>907</v>
      </c>
      <c r="C711" s="20" t="s">
        <v>507</v>
      </c>
      <c r="D711" s="20" t="s">
        <v>134</v>
      </c>
      <c r="E711" s="20" t="s">
        <v>513</v>
      </c>
      <c r="F711" s="20"/>
      <c r="G711" s="26">
        <f>G712</f>
        <v>297.5</v>
      </c>
      <c r="H711" s="177"/>
    </row>
    <row r="712" spans="1:9" ht="47.25" x14ac:dyDescent="0.25">
      <c r="A712" s="25" t="s">
        <v>288</v>
      </c>
      <c r="B712" s="16">
        <v>907</v>
      </c>
      <c r="C712" s="20" t="s">
        <v>507</v>
      </c>
      <c r="D712" s="20" t="s">
        <v>134</v>
      </c>
      <c r="E712" s="20" t="s">
        <v>513</v>
      </c>
      <c r="F712" s="20" t="s">
        <v>289</v>
      </c>
      <c r="G712" s="26">
        <f>G713</f>
        <v>297.5</v>
      </c>
      <c r="H712" s="177"/>
    </row>
    <row r="713" spans="1:9" ht="15.75" x14ac:dyDescent="0.25">
      <c r="A713" s="25" t="s">
        <v>290</v>
      </c>
      <c r="B713" s="16">
        <v>907</v>
      </c>
      <c r="C713" s="20" t="s">
        <v>507</v>
      </c>
      <c r="D713" s="20" t="s">
        <v>134</v>
      </c>
      <c r="E713" s="20" t="s">
        <v>513</v>
      </c>
      <c r="F713" s="20" t="s">
        <v>291</v>
      </c>
      <c r="G713" s="158">
        <f>797.5-500</f>
        <v>297.5</v>
      </c>
      <c r="H713" s="157" t="s">
        <v>754</v>
      </c>
    </row>
    <row r="714" spans="1:9" ht="31.5" hidden="1" x14ac:dyDescent="0.25">
      <c r="A714" s="25" t="s">
        <v>296</v>
      </c>
      <c r="B714" s="16">
        <v>907</v>
      </c>
      <c r="C714" s="20" t="s">
        <v>507</v>
      </c>
      <c r="D714" s="20" t="s">
        <v>134</v>
      </c>
      <c r="E714" s="20" t="s">
        <v>514</v>
      </c>
      <c r="F714" s="20"/>
      <c r="G714" s="26">
        <f>G715</f>
        <v>0</v>
      </c>
      <c r="H714" s="177"/>
    </row>
    <row r="715" spans="1:9" ht="47.25" hidden="1" x14ac:dyDescent="0.25">
      <c r="A715" s="25" t="s">
        <v>288</v>
      </c>
      <c r="B715" s="16">
        <v>907</v>
      </c>
      <c r="C715" s="20" t="s">
        <v>507</v>
      </c>
      <c r="D715" s="20" t="s">
        <v>134</v>
      </c>
      <c r="E715" s="20" t="s">
        <v>514</v>
      </c>
      <c r="F715" s="20" t="s">
        <v>289</v>
      </c>
      <c r="G715" s="26">
        <f>G716</f>
        <v>0</v>
      </c>
      <c r="H715" s="177"/>
    </row>
    <row r="716" spans="1:9" ht="15.75" hidden="1" x14ac:dyDescent="0.25">
      <c r="A716" s="25" t="s">
        <v>290</v>
      </c>
      <c r="B716" s="16">
        <v>907</v>
      </c>
      <c r="C716" s="20" t="s">
        <v>507</v>
      </c>
      <c r="D716" s="20" t="s">
        <v>134</v>
      </c>
      <c r="E716" s="20" t="s">
        <v>514</v>
      </c>
      <c r="F716" s="20" t="s">
        <v>291</v>
      </c>
      <c r="G716" s="26">
        <v>0</v>
      </c>
      <c r="H716" s="177"/>
    </row>
    <row r="717" spans="1:9" ht="31.5" hidden="1" x14ac:dyDescent="0.25">
      <c r="A717" s="25" t="s">
        <v>300</v>
      </c>
      <c r="B717" s="16">
        <v>907</v>
      </c>
      <c r="C717" s="20" t="s">
        <v>507</v>
      </c>
      <c r="D717" s="20" t="s">
        <v>134</v>
      </c>
      <c r="E717" s="20" t="s">
        <v>515</v>
      </c>
      <c r="F717" s="20"/>
      <c r="G717" s="26">
        <f>G718</f>
        <v>0</v>
      </c>
      <c r="H717" s="177"/>
    </row>
    <row r="718" spans="1:9" ht="47.25" hidden="1" x14ac:dyDescent="0.25">
      <c r="A718" s="25" t="s">
        <v>288</v>
      </c>
      <c r="B718" s="16">
        <v>907</v>
      </c>
      <c r="C718" s="20" t="s">
        <v>507</v>
      </c>
      <c r="D718" s="20" t="s">
        <v>134</v>
      </c>
      <c r="E718" s="20" t="s">
        <v>515</v>
      </c>
      <c r="F718" s="20" t="s">
        <v>289</v>
      </c>
      <c r="G718" s="26">
        <f>G719</f>
        <v>0</v>
      </c>
      <c r="H718" s="177"/>
    </row>
    <row r="719" spans="1:9" ht="15.75" hidden="1" x14ac:dyDescent="0.25">
      <c r="A719" s="25" t="s">
        <v>290</v>
      </c>
      <c r="B719" s="16">
        <v>907</v>
      </c>
      <c r="C719" s="20" t="s">
        <v>507</v>
      </c>
      <c r="D719" s="20" t="s">
        <v>134</v>
      </c>
      <c r="E719" s="20" t="s">
        <v>515</v>
      </c>
      <c r="F719" s="20" t="s">
        <v>291</v>
      </c>
      <c r="G719" s="26">
        <v>0</v>
      </c>
      <c r="H719" s="177"/>
    </row>
    <row r="720" spans="1:9" ht="15.75" x14ac:dyDescent="0.25">
      <c r="A720" s="25" t="s">
        <v>137</v>
      </c>
      <c r="B720" s="16">
        <v>907</v>
      </c>
      <c r="C720" s="20" t="s">
        <v>507</v>
      </c>
      <c r="D720" s="20" t="s">
        <v>134</v>
      </c>
      <c r="E720" s="20" t="s">
        <v>138</v>
      </c>
      <c r="F720" s="20"/>
      <c r="G720" s="26">
        <f>G721</f>
        <v>500</v>
      </c>
      <c r="H720" s="177"/>
    </row>
    <row r="721" spans="1:9" ht="31.5" x14ac:dyDescent="0.25">
      <c r="A721" s="25" t="s">
        <v>201</v>
      </c>
      <c r="B721" s="16">
        <v>907</v>
      </c>
      <c r="C721" s="20" t="s">
        <v>507</v>
      </c>
      <c r="D721" s="20" t="s">
        <v>134</v>
      </c>
      <c r="E721" s="20" t="s">
        <v>202</v>
      </c>
      <c r="F721" s="20"/>
      <c r="G721" s="26">
        <f>G722</f>
        <v>500</v>
      </c>
      <c r="H721" s="177"/>
    </row>
    <row r="722" spans="1:9" ht="31.5" x14ac:dyDescent="0.25">
      <c r="A722" s="25" t="s">
        <v>753</v>
      </c>
      <c r="B722" s="16">
        <v>907</v>
      </c>
      <c r="C722" s="20" t="s">
        <v>507</v>
      </c>
      <c r="D722" s="20" t="s">
        <v>134</v>
      </c>
      <c r="E722" s="20" t="s">
        <v>751</v>
      </c>
      <c r="F722" s="20"/>
      <c r="G722" s="26">
        <f>G724</f>
        <v>500</v>
      </c>
      <c r="H722" s="177"/>
    </row>
    <row r="723" spans="1:9" ht="47.25" x14ac:dyDescent="0.25">
      <c r="A723" s="25" t="s">
        <v>288</v>
      </c>
      <c r="B723" s="16">
        <v>907</v>
      </c>
      <c r="C723" s="20" t="s">
        <v>507</v>
      </c>
      <c r="D723" s="20" t="s">
        <v>134</v>
      </c>
      <c r="E723" s="20" t="s">
        <v>751</v>
      </c>
      <c r="F723" s="20" t="s">
        <v>289</v>
      </c>
      <c r="G723" s="26">
        <f>G724</f>
        <v>500</v>
      </c>
      <c r="H723" s="177"/>
    </row>
    <row r="724" spans="1:9" ht="15.75" x14ac:dyDescent="0.25">
      <c r="A724" s="25" t="s">
        <v>290</v>
      </c>
      <c r="B724" s="16">
        <v>907</v>
      </c>
      <c r="C724" s="20" t="s">
        <v>507</v>
      </c>
      <c r="D724" s="20" t="s">
        <v>134</v>
      </c>
      <c r="E724" s="20" t="s">
        <v>751</v>
      </c>
      <c r="F724" s="20" t="s">
        <v>291</v>
      </c>
      <c r="G724" s="158">
        <v>500</v>
      </c>
      <c r="H724" s="157" t="s">
        <v>755</v>
      </c>
    </row>
    <row r="725" spans="1:9" ht="31.5" x14ac:dyDescent="0.25">
      <c r="A725" s="23" t="s">
        <v>516</v>
      </c>
      <c r="B725" s="19">
        <v>907</v>
      </c>
      <c r="C725" s="24" t="s">
        <v>507</v>
      </c>
      <c r="D725" s="24" t="s">
        <v>250</v>
      </c>
      <c r="E725" s="24"/>
      <c r="F725" s="24"/>
      <c r="G725" s="21">
        <f>G733+G726</f>
        <v>11528.8</v>
      </c>
      <c r="H725" s="177"/>
    </row>
    <row r="726" spans="1:9" ht="47.25" x14ac:dyDescent="0.25">
      <c r="A726" s="29" t="s">
        <v>497</v>
      </c>
      <c r="B726" s="16">
        <v>907</v>
      </c>
      <c r="C726" s="20" t="s">
        <v>507</v>
      </c>
      <c r="D726" s="20" t="s">
        <v>250</v>
      </c>
      <c r="E726" s="40" t="s">
        <v>498</v>
      </c>
      <c r="F726" s="20"/>
      <c r="G726" s="26">
        <f>G727</f>
        <v>3047</v>
      </c>
      <c r="H726" s="177"/>
    </row>
    <row r="727" spans="1:9" ht="47.25" x14ac:dyDescent="0.25">
      <c r="A727" s="45" t="s">
        <v>517</v>
      </c>
      <c r="B727" s="16">
        <v>907</v>
      </c>
      <c r="C727" s="20" t="s">
        <v>507</v>
      </c>
      <c r="D727" s="20" t="s">
        <v>250</v>
      </c>
      <c r="E727" s="40" t="s">
        <v>518</v>
      </c>
      <c r="F727" s="20"/>
      <c r="G727" s="26">
        <f>G728</f>
        <v>3047</v>
      </c>
      <c r="H727" s="177"/>
    </row>
    <row r="728" spans="1:9" ht="31.5" x14ac:dyDescent="0.25">
      <c r="A728" s="29" t="s">
        <v>173</v>
      </c>
      <c r="B728" s="16">
        <v>907</v>
      </c>
      <c r="C728" s="20" t="s">
        <v>507</v>
      </c>
      <c r="D728" s="20" t="s">
        <v>250</v>
      </c>
      <c r="E728" s="40" t="s">
        <v>519</v>
      </c>
      <c r="F728" s="20"/>
      <c r="G728" s="26">
        <f>G731+G729</f>
        <v>3047</v>
      </c>
      <c r="H728" s="177"/>
    </row>
    <row r="729" spans="1:9" ht="94.5" x14ac:dyDescent="0.25">
      <c r="A729" s="25" t="s">
        <v>143</v>
      </c>
      <c r="B729" s="16">
        <v>907</v>
      </c>
      <c r="C729" s="20" t="s">
        <v>507</v>
      </c>
      <c r="D729" s="20" t="s">
        <v>250</v>
      </c>
      <c r="E729" s="40" t="s">
        <v>519</v>
      </c>
      <c r="F729" s="20" t="s">
        <v>144</v>
      </c>
      <c r="G729" s="26">
        <f>G730</f>
        <v>2111</v>
      </c>
      <c r="H729" s="177"/>
    </row>
    <row r="730" spans="1:9" ht="31.5" x14ac:dyDescent="0.25">
      <c r="A730" s="25" t="s">
        <v>145</v>
      </c>
      <c r="B730" s="16">
        <v>907</v>
      </c>
      <c r="C730" s="20" t="s">
        <v>507</v>
      </c>
      <c r="D730" s="20" t="s">
        <v>250</v>
      </c>
      <c r="E730" s="40" t="s">
        <v>519</v>
      </c>
      <c r="F730" s="20" t="s">
        <v>146</v>
      </c>
      <c r="G730" s="26">
        <v>2111</v>
      </c>
      <c r="H730" s="177"/>
      <c r="I730" s="115"/>
    </row>
    <row r="731" spans="1:9" ht="31.5" x14ac:dyDescent="0.25">
      <c r="A731" s="29" t="s">
        <v>147</v>
      </c>
      <c r="B731" s="16">
        <v>907</v>
      </c>
      <c r="C731" s="20" t="s">
        <v>507</v>
      </c>
      <c r="D731" s="20" t="s">
        <v>250</v>
      </c>
      <c r="E731" s="40" t="s">
        <v>519</v>
      </c>
      <c r="F731" s="20" t="s">
        <v>148</v>
      </c>
      <c r="G731" s="26">
        <f>G732</f>
        <v>936</v>
      </c>
      <c r="H731" s="177"/>
    </row>
    <row r="732" spans="1:9" ht="47.25" x14ac:dyDescent="0.25">
      <c r="A732" s="29" t="s">
        <v>149</v>
      </c>
      <c r="B732" s="16">
        <v>907</v>
      </c>
      <c r="C732" s="20" t="s">
        <v>507</v>
      </c>
      <c r="D732" s="20" t="s">
        <v>250</v>
      </c>
      <c r="E732" s="40" t="s">
        <v>519</v>
      </c>
      <c r="F732" s="20" t="s">
        <v>150</v>
      </c>
      <c r="G732" s="26">
        <f>3047-2111</f>
        <v>936</v>
      </c>
      <c r="H732" s="177"/>
      <c r="I732" s="115"/>
    </row>
    <row r="733" spans="1:9" ht="15.75" x14ac:dyDescent="0.25">
      <c r="A733" s="25" t="s">
        <v>137</v>
      </c>
      <c r="B733" s="16">
        <v>907</v>
      </c>
      <c r="C733" s="20" t="s">
        <v>507</v>
      </c>
      <c r="D733" s="20" t="s">
        <v>250</v>
      </c>
      <c r="E733" s="20" t="s">
        <v>138</v>
      </c>
      <c r="F733" s="20"/>
      <c r="G733" s="26">
        <f>G734+G740</f>
        <v>8481.7999999999993</v>
      </c>
      <c r="H733" s="177"/>
    </row>
    <row r="734" spans="1:9" ht="31.5" x14ac:dyDescent="0.25">
      <c r="A734" s="25" t="s">
        <v>139</v>
      </c>
      <c r="B734" s="16">
        <v>907</v>
      </c>
      <c r="C734" s="20" t="s">
        <v>507</v>
      </c>
      <c r="D734" s="20" t="s">
        <v>250</v>
      </c>
      <c r="E734" s="20" t="s">
        <v>140</v>
      </c>
      <c r="F734" s="20"/>
      <c r="G734" s="26">
        <f>G735</f>
        <v>3599.8</v>
      </c>
      <c r="H734" s="177"/>
    </row>
    <row r="735" spans="1:9" ht="47.25" x14ac:dyDescent="0.25">
      <c r="A735" s="25" t="s">
        <v>141</v>
      </c>
      <c r="B735" s="16">
        <v>907</v>
      </c>
      <c r="C735" s="20" t="s">
        <v>507</v>
      </c>
      <c r="D735" s="20" t="s">
        <v>250</v>
      </c>
      <c r="E735" s="20" t="s">
        <v>142</v>
      </c>
      <c r="F735" s="20"/>
      <c r="G735" s="26">
        <f>G736+G738</f>
        <v>3599.8</v>
      </c>
      <c r="H735" s="177"/>
    </row>
    <row r="736" spans="1:9" ht="94.5" x14ac:dyDescent="0.25">
      <c r="A736" s="25" t="s">
        <v>143</v>
      </c>
      <c r="B736" s="16">
        <v>907</v>
      </c>
      <c r="C736" s="20" t="s">
        <v>507</v>
      </c>
      <c r="D736" s="20" t="s">
        <v>250</v>
      </c>
      <c r="E736" s="20" t="s">
        <v>142</v>
      </c>
      <c r="F736" s="20" t="s">
        <v>144</v>
      </c>
      <c r="G736" s="26">
        <f>G737</f>
        <v>3599.8</v>
      </c>
      <c r="H736" s="177"/>
    </row>
    <row r="737" spans="1:12" ht="31.5" x14ac:dyDescent="0.25">
      <c r="A737" s="25" t="s">
        <v>145</v>
      </c>
      <c r="B737" s="16">
        <v>907</v>
      </c>
      <c r="C737" s="20" t="s">
        <v>507</v>
      </c>
      <c r="D737" s="20" t="s">
        <v>250</v>
      </c>
      <c r="E737" s="20" t="s">
        <v>142</v>
      </c>
      <c r="F737" s="20" t="s">
        <v>146</v>
      </c>
      <c r="G737" s="27">
        <v>3599.8</v>
      </c>
      <c r="H737" s="177"/>
    </row>
    <row r="738" spans="1:12" ht="31.5" hidden="1" x14ac:dyDescent="0.25">
      <c r="A738" s="25" t="s">
        <v>147</v>
      </c>
      <c r="B738" s="16">
        <v>907</v>
      </c>
      <c r="C738" s="20" t="s">
        <v>507</v>
      </c>
      <c r="D738" s="20" t="s">
        <v>250</v>
      </c>
      <c r="E738" s="20" t="s">
        <v>142</v>
      </c>
      <c r="F738" s="20" t="s">
        <v>148</v>
      </c>
      <c r="G738" s="26">
        <f>G739</f>
        <v>0</v>
      </c>
      <c r="H738" s="177"/>
    </row>
    <row r="739" spans="1:12" ht="47.25" hidden="1" x14ac:dyDescent="0.25">
      <c r="A739" s="25" t="s">
        <v>149</v>
      </c>
      <c r="B739" s="16">
        <v>907</v>
      </c>
      <c r="C739" s="20" t="s">
        <v>507</v>
      </c>
      <c r="D739" s="20" t="s">
        <v>250</v>
      </c>
      <c r="E739" s="20" t="s">
        <v>142</v>
      </c>
      <c r="F739" s="20" t="s">
        <v>150</v>
      </c>
      <c r="G739" s="26"/>
      <c r="H739" s="177"/>
    </row>
    <row r="740" spans="1:12" ht="15.75" x14ac:dyDescent="0.25">
      <c r="A740" s="25" t="s">
        <v>157</v>
      </c>
      <c r="B740" s="16">
        <v>907</v>
      </c>
      <c r="C740" s="20" t="s">
        <v>507</v>
      </c>
      <c r="D740" s="20" t="s">
        <v>250</v>
      </c>
      <c r="E740" s="20" t="s">
        <v>158</v>
      </c>
      <c r="F740" s="20"/>
      <c r="G740" s="26">
        <f>G741</f>
        <v>4882</v>
      </c>
      <c r="H740" s="177"/>
    </row>
    <row r="741" spans="1:12" ht="31.5" x14ac:dyDescent="0.25">
      <c r="A741" s="25" t="s">
        <v>356</v>
      </c>
      <c r="B741" s="16">
        <v>907</v>
      </c>
      <c r="C741" s="20" t="s">
        <v>507</v>
      </c>
      <c r="D741" s="20" t="s">
        <v>250</v>
      </c>
      <c r="E741" s="20" t="s">
        <v>357</v>
      </c>
      <c r="F741" s="20"/>
      <c r="G741" s="26">
        <f>G742+G744+G746</f>
        <v>4882</v>
      </c>
      <c r="H741" s="177"/>
      <c r="J741" s="394"/>
      <c r="K741" s="394"/>
    </row>
    <row r="742" spans="1:12" ht="94.5" x14ac:dyDescent="0.25">
      <c r="A742" s="25" t="s">
        <v>143</v>
      </c>
      <c r="B742" s="16">
        <v>907</v>
      </c>
      <c r="C742" s="20" t="s">
        <v>507</v>
      </c>
      <c r="D742" s="20" t="s">
        <v>250</v>
      </c>
      <c r="E742" s="20" t="s">
        <v>357</v>
      </c>
      <c r="F742" s="20" t="s">
        <v>144</v>
      </c>
      <c r="G742" s="26">
        <f>G743</f>
        <v>3660.7</v>
      </c>
      <c r="H742" s="177"/>
      <c r="J742" s="394"/>
      <c r="K742" s="394"/>
    </row>
    <row r="743" spans="1:12" ht="31.5" x14ac:dyDescent="0.25">
      <c r="A743" s="25" t="s">
        <v>358</v>
      </c>
      <c r="B743" s="16">
        <v>907</v>
      </c>
      <c r="C743" s="20" t="s">
        <v>507</v>
      </c>
      <c r="D743" s="20" t="s">
        <v>250</v>
      </c>
      <c r="E743" s="20" t="s">
        <v>357</v>
      </c>
      <c r="F743" s="20" t="s">
        <v>225</v>
      </c>
      <c r="G743" s="27">
        <f>4240.2-579.5</f>
        <v>3660.7</v>
      </c>
      <c r="H743" s="106"/>
      <c r="I743" s="124"/>
      <c r="J743" s="394"/>
      <c r="K743" s="394"/>
    </row>
    <row r="744" spans="1:12" ht="31.5" x14ac:dyDescent="0.25">
      <c r="A744" s="25" t="s">
        <v>147</v>
      </c>
      <c r="B744" s="16">
        <v>907</v>
      </c>
      <c r="C744" s="20" t="s">
        <v>507</v>
      </c>
      <c r="D744" s="20" t="s">
        <v>250</v>
      </c>
      <c r="E744" s="20" t="s">
        <v>357</v>
      </c>
      <c r="F744" s="20" t="s">
        <v>148</v>
      </c>
      <c r="G744" s="26">
        <f>G745</f>
        <v>1194.1999999999998</v>
      </c>
      <c r="H744" s="177"/>
      <c r="J744" s="394"/>
      <c r="K744" s="394"/>
    </row>
    <row r="745" spans="1:12" ht="47.25" x14ac:dyDescent="0.25">
      <c r="A745" s="25" t="s">
        <v>149</v>
      </c>
      <c r="B745" s="16">
        <v>907</v>
      </c>
      <c r="C745" s="20" t="s">
        <v>507</v>
      </c>
      <c r="D745" s="20" t="s">
        <v>250</v>
      </c>
      <c r="E745" s="20" t="s">
        <v>357</v>
      </c>
      <c r="F745" s="20" t="s">
        <v>150</v>
      </c>
      <c r="G745" s="27">
        <f>1339.6-145.4</f>
        <v>1194.1999999999998</v>
      </c>
      <c r="H745" s="106"/>
      <c r="I745" s="124"/>
      <c r="J745" s="394"/>
      <c r="K745" s="394"/>
    </row>
    <row r="746" spans="1:12" ht="15.75" x14ac:dyDescent="0.25">
      <c r="A746" s="25" t="s">
        <v>151</v>
      </c>
      <c r="B746" s="16">
        <v>907</v>
      </c>
      <c r="C746" s="20" t="s">
        <v>507</v>
      </c>
      <c r="D746" s="20" t="s">
        <v>250</v>
      </c>
      <c r="E746" s="20" t="s">
        <v>357</v>
      </c>
      <c r="F746" s="20" t="s">
        <v>161</v>
      </c>
      <c r="G746" s="26">
        <f>G747</f>
        <v>27.1</v>
      </c>
      <c r="H746" s="177"/>
      <c r="J746" s="394"/>
      <c r="K746" s="394"/>
    </row>
    <row r="747" spans="1:12" ht="15.75" x14ac:dyDescent="0.25">
      <c r="A747" s="25" t="s">
        <v>584</v>
      </c>
      <c r="B747" s="16">
        <v>907</v>
      </c>
      <c r="C747" s="20" t="s">
        <v>507</v>
      </c>
      <c r="D747" s="20" t="s">
        <v>250</v>
      </c>
      <c r="E747" s="20" t="s">
        <v>357</v>
      </c>
      <c r="F747" s="20" t="s">
        <v>154</v>
      </c>
      <c r="G747" s="26">
        <f>27.1</f>
        <v>27.1</v>
      </c>
      <c r="H747" s="106"/>
      <c r="I747" s="124"/>
      <c r="J747" s="394"/>
      <c r="K747" s="394"/>
    </row>
    <row r="748" spans="1:12" ht="47.25" x14ac:dyDescent="0.25">
      <c r="A748" s="19" t="s">
        <v>520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7"/>
      <c r="L748" s="116"/>
    </row>
    <row r="749" spans="1:12" ht="15.75" x14ac:dyDescent="0.25">
      <c r="A749" s="34" t="s">
        <v>133</v>
      </c>
      <c r="B749" s="19">
        <v>908</v>
      </c>
      <c r="C749" s="24" t="s">
        <v>134</v>
      </c>
      <c r="D749" s="20"/>
      <c r="E749" s="20"/>
      <c r="F749" s="20"/>
      <c r="G749" s="21">
        <f>G750</f>
        <v>16714.8</v>
      </c>
      <c r="H749" s="177"/>
      <c r="L749" s="116"/>
    </row>
    <row r="750" spans="1:12" ht="15.75" x14ac:dyDescent="0.25">
      <c r="A750" s="34" t="s">
        <v>155</v>
      </c>
      <c r="B750" s="19">
        <v>908</v>
      </c>
      <c r="C750" s="24" t="s">
        <v>134</v>
      </c>
      <c r="D750" s="24" t="s">
        <v>156</v>
      </c>
      <c r="E750" s="20"/>
      <c r="F750" s="20"/>
      <c r="G750" s="21">
        <f>G752+G755</f>
        <v>16714.8</v>
      </c>
      <c r="H750" s="177"/>
      <c r="L750" s="116"/>
    </row>
    <row r="751" spans="1:12" ht="15.75" x14ac:dyDescent="0.25">
      <c r="A751" s="25" t="s">
        <v>157</v>
      </c>
      <c r="B751" s="16">
        <v>908</v>
      </c>
      <c r="C751" s="20" t="s">
        <v>134</v>
      </c>
      <c r="D751" s="20" t="s">
        <v>156</v>
      </c>
      <c r="E751" s="20" t="s">
        <v>158</v>
      </c>
      <c r="F751" s="20"/>
      <c r="G751" s="26">
        <f>G752</f>
        <v>262.5</v>
      </c>
      <c r="H751" s="177"/>
      <c r="L751" s="116"/>
    </row>
    <row r="752" spans="1:12" ht="15.75" x14ac:dyDescent="0.25">
      <c r="A752" s="25" t="s">
        <v>159</v>
      </c>
      <c r="B752" s="16">
        <v>908</v>
      </c>
      <c r="C752" s="20" t="s">
        <v>134</v>
      </c>
      <c r="D752" s="20" t="s">
        <v>156</v>
      </c>
      <c r="E752" s="20" t="s">
        <v>160</v>
      </c>
      <c r="F752" s="20"/>
      <c r="G752" s="26">
        <f>G753</f>
        <v>262.5</v>
      </c>
      <c r="H752" s="177"/>
      <c r="L752" s="116"/>
    </row>
    <row r="753" spans="1:12" ht="15.75" x14ac:dyDescent="0.25">
      <c r="A753" s="25" t="s">
        <v>151</v>
      </c>
      <c r="B753" s="16">
        <v>908</v>
      </c>
      <c r="C753" s="20" t="s">
        <v>134</v>
      </c>
      <c r="D753" s="20" t="s">
        <v>156</v>
      </c>
      <c r="E753" s="20" t="s">
        <v>160</v>
      </c>
      <c r="F753" s="20" t="s">
        <v>161</v>
      </c>
      <c r="G753" s="26">
        <f>G754</f>
        <v>262.5</v>
      </c>
      <c r="H753" s="177"/>
      <c r="L753" s="116"/>
    </row>
    <row r="754" spans="1:12" ht="15.75" x14ac:dyDescent="0.25">
      <c r="A754" s="25" t="s">
        <v>584</v>
      </c>
      <c r="B754" s="16">
        <v>908</v>
      </c>
      <c r="C754" s="20" t="s">
        <v>134</v>
      </c>
      <c r="D754" s="20" t="s">
        <v>156</v>
      </c>
      <c r="E754" s="20" t="s">
        <v>160</v>
      </c>
      <c r="F754" s="20" t="s">
        <v>154</v>
      </c>
      <c r="G754" s="26">
        <v>262.5</v>
      </c>
      <c r="H754" s="106"/>
      <c r="I754" s="124"/>
      <c r="L754" s="116"/>
    </row>
    <row r="755" spans="1:12" ht="31.5" x14ac:dyDescent="0.25">
      <c r="A755" s="25" t="s">
        <v>600</v>
      </c>
      <c r="B755" s="16">
        <v>908</v>
      </c>
      <c r="C755" s="20" t="s">
        <v>134</v>
      </c>
      <c r="D755" s="20" t="s">
        <v>156</v>
      </c>
      <c r="E755" s="20" t="s">
        <v>601</v>
      </c>
      <c r="F755" s="20"/>
      <c r="G755" s="27">
        <f>G756</f>
        <v>16452.3</v>
      </c>
      <c r="H755" s="177"/>
    </row>
    <row r="756" spans="1:12" ht="31.5" x14ac:dyDescent="0.25">
      <c r="A756" s="25" t="s">
        <v>326</v>
      </c>
      <c r="B756" s="16">
        <v>908</v>
      </c>
      <c r="C756" s="20" t="s">
        <v>134</v>
      </c>
      <c r="D756" s="20" t="s">
        <v>156</v>
      </c>
      <c r="E756" s="20" t="s">
        <v>602</v>
      </c>
      <c r="F756" s="20"/>
      <c r="G756" s="27">
        <f>G757+G759+G761</f>
        <v>16452.3</v>
      </c>
      <c r="H756" s="177"/>
    </row>
    <row r="757" spans="1:12" ht="94.5" x14ac:dyDescent="0.25">
      <c r="A757" s="25" t="s">
        <v>143</v>
      </c>
      <c r="B757" s="16">
        <v>908</v>
      </c>
      <c r="C757" s="20" t="s">
        <v>134</v>
      </c>
      <c r="D757" s="20" t="s">
        <v>156</v>
      </c>
      <c r="E757" s="20" t="s">
        <v>602</v>
      </c>
      <c r="F757" s="20" t="s">
        <v>144</v>
      </c>
      <c r="G757" s="27">
        <f>G758</f>
        <v>13760</v>
      </c>
      <c r="H757" s="177"/>
    </row>
    <row r="758" spans="1:12" ht="31.5" x14ac:dyDescent="0.25">
      <c r="A758" s="46" t="s">
        <v>358</v>
      </c>
      <c r="B758" s="16">
        <v>908</v>
      </c>
      <c r="C758" s="20" t="s">
        <v>134</v>
      </c>
      <c r="D758" s="20" t="s">
        <v>156</v>
      </c>
      <c r="E758" s="20" t="s">
        <v>602</v>
      </c>
      <c r="F758" s="20" t="s">
        <v>225</v>
      </c>
      <c r="G758" s="166">
        <f>13403.8+356.2</f>
        <v>13760</v>
      </c>
      <c r="H758" s="106" t="s">
        <v>765</v>
      </c>
      <c r="I758" s="124"/>
      <c r="L758" s="116"/>
    </row>
    <row r="759" spans="1:12" ht="31.5" x14ac:dyDescent="0.25">
      <c r="A759" s="25" t="s">
        <v>147</v>
      </c>
      <c r="B759" s="16">
        <v>908</v>
      </c>
      <c r="C759" s="20" t="s">
        <v>134</v>
      </c>
      <c r="D759" s="20" t="s">
        <v>156</v>
      </c>
      <c r="E759" s="20" t="s">
        <v>602</v>
      </c>
      <c r="F759" s="20" t="s">
        <v>148</v>
      </c>
      <c r="G759" s="27">
        <f>G760</f>
        <v>2678</v>
      </c>
      <c r="H759" s="177"/>
      <c r="L759" s="116"/>
    </row>
    <row r="760" spans="1:12" ht="47.25" x14ac:dyDescent="0.25">
      <c r="A760" s="25" t="s">
        <v>149</v>
      </c>
      <c r="B760" s="16">
        <v>908</v>
      </c>
      <c r="C760" s="20" t="s">
        <v>134</v>
      </c>
      <c r="D760" s="20" t="s">
        <v>156</v>
      </c>
      <c r="E760" s="20" t="s">
        <v>602</v>
      </c>
      <c r="F760" s="20" t="s">
        <v>150</v>
      </c>
      <c r="G760" s="166">
        <f>3034.2-356.2</f>
        <v>2678</v>
      </c>
      <c r="H760" s="106" t="s">
        <v>766</v>
      </c>
      <c r="I760" s="124"/>
      <c r="L760" s="116"/>
    </row>
    <row r="761" spans="1:12" ht="15.75" x14ac:dyDescent="0.25">
      <c r="A761" s="25" t="s">
        <v>151</v>
      </c>
      <c r="B761" s="16">
        <v>908</v>
      </c>
      <c r="C761" s="20" t="s">
        <v>134</v>
      </c>
      <c r="D761" s="20" t="s">
        <v>156</v>
      </c>
      <c r="E761" s="20" t="s">
        <v>602</v>
      </c>
      <c r="F761" s="20" t="s">
        <v>161</v>
      </c>
      <c r="G761" s="27">
        <f>G762</f>
        <v>14.3</v>
      </c>
      <c r="H761" s="177"/>
      <c r="L761" s="116"/>
    </row>
    <row r="762" spans="1:12" ht="15.75" x14ac:dyDescent="0.25">
      <c r="A762" s="25" t="s">
        <v>727</v>
      </c>
      <c r="B762" s="16">
        <v>908</v>
      </c>
      <c r="C762" s="20" t="s">
        <v>134</v>
      </c>
      <c r="D762" s="20" t="s">
        <v>156</v>
      </c>
      <c r="E762" s="20" t="s">
        <v>602</v>
      </c>
      <c r="F762" s="20" t="s">
        <v>154</v>
      </c>
      <c r="G762" s="27">
        <v>14.3</v>
      </c>
      <c r="H762" s="106"/>
      <c r="I762" s="124"/>
      <c r="L762" s="116"/>
    </row>
    <row r="763" spans="1:12" ht="31.5" x14ac:dyDescent="0.25">
      <c r="A763" s="23" t="s">
        <v>238</v>
      </c>
      <c r="B763" s="19">
        <v>908</v>
      </c>
      <c r="C763" s="24" t="s">
        <v>231</v>
      </c>
      <c r="D763" s="24"/>
      <c r="E763" s="24"/>
      <c r="F763" s="24"/>
      <c r="G763" s="21">
        <f t="shared" ref="G763:G768" si="4">G764</f>
        <v>50</v>
      </c>
      <c r="H763" s="177"/>
    </row>
    <row r="764" spans="1:12" ht="63" x14ac:dyDescent="0.25">
      <c r="A764" s="23" t="s">
        <v>239</v>
      </c>
      <c r="B764" s="19">
        <v>908</v>
      </c>
      <c r="C764" s="24" t="s">
        <v>231</v>
      </c>
      <c r="D764" s="24" t="s">
        <v>235</v>
      </c>
      <c r="E764" s="24"/>
      <c r="F764" s="24"/>
      <c r="G764" s="21">
        <f t="shared" si="4"/>
        <v>50</v>
      </c>
      <c r="H764" s="177"/>
    </row>
    <row r="765" spans="1:12" ht="21.75" customHeight="1" x14ac:dyDescent="0.25">
      <c r="A765" s="25" t="s">
        <v>137</v>
      </c>
      <c r="B765" s="16">
        <v>908</v>
      </c>
      <c r="C765" s="20" t="s">
        <v>231</v>
      </c>
      <c r="D765" s="20" t="s">
        <v>235</v>
      </c>
      <c r="E765" s="20" t="s">
        <v>138</v>
      </c>
      <c r="F765" s="20"/>
      <c r="G765" s="26">
        <f t="shared" si="4"/>
        <v>50</v>
      </c>
      <c r="H765" s="177"/>
    </row>
    <row r="766" spans="1:12" ht="15.75" x14ac:dyDescent="0.25">
      <c r="A766" s="25" t="s">
        <v>157</v>
      </c>
      <c r="B766" s="16">
        <v>908</v>
      </c>
      <c r="C766" s="20" t="s">
        <v>231</v>
      </c>
      <c r="D766" s="20" t="s">
        <v>235</v>
      </c>
      <c r="E766" s="20" t="s">
        <v>158</v>
      </c>
      <c r="F766" s="20"/>
      <c r="G766" s="26">
        <f t="shared" si="4"/>
        <v>50</v>
      </c>
      <c r="H766" s="177"/>
    </row>
    <row r="767" spans="1:12" ht="15.75" x14ac:dyDescent="0.25">
      <c r="A767" s="25" t="s">
        <v>246</v>
      </c>
      <c r="B767" s="16">
        <v>908</v>
      </c>
      <c r="C767" s="20" t="s">
        <v>231</v>
      </c>
      <c r="D767" s="20" t="s">
        <v>235</v>
      </c>
      <c r="E767" s="20" t="s">
        <v>247</v>
      </c>
      <c r="F767" s="20"/>
      <c r="G767" s="26">
        <f t="shared" si="4"/>
        <v>50</v>
      </c>
      <c r="H767" s="177"/>
    </row>
    <row r="768" spans="1:12" ht="31.5" x14ac:dyDescent="0.25">
      <c r="A768" s="25" t="s">
        <v>147</v>
      </c>
      <c r="B768" s="16">
        <v>908</v>
      </c>
      <c r="C768" s="20" t="s">
        <v>231</v>
      </c>
      <c r="D768" s="20" t="s">
        <v>235</v>
      </c>
      <c r="E768" s="20" t="s">
        <v>247</v>
      </c>
      <c r="F768" s="20" t="s">
        <v>148</v>
      </c>
      <c r="G768" s="26">
        <f t="shared" si="4"/>
        <v>50</v>
      </c>
      <c r="H768" s="177"/>
    </row>
    <row r="769" spans="1:9" ht="47.25" x14ac:dyDescent="0.25">
      <c r="A769" s="25" t="s">
        <v>149</v>
      </c>
      <c r="B769" s="16">
        <v>908</v>
      </c>
      <c r="C769" s="20" t="s">
        <v>231</v>
      </c>
      <c r="D769" s="20" t="s">
        <v>235</v>
      </c>
      <c r="E769" s="20" t="s">
        <v>247</v>
      </c>
      <c r="F769" s="20" t="s">
        <v>150</v>
      </c>
      <c r="G769" s="26">
        <v>50</v>
      </c>
      <c r="H769" s="177"/>
    </row>
    <row r="770" spans="1:9" ht="15.75" x14ac:dyDescent="0.25">
      <c r="A770" s="23" t="s">
        <v>248</v>
      </c>
      <c r="B770" s="19">
        <v>908</v>
      </c>
      <c r="C770" s="24" t="s">
        <v>166</v>
      </c>
      <c r="D770" s="24"/>
      <c r="E770" s="24"/>
      <c r="F770" s="24"/>
      <c r="G770" s="21">
        <f>G771+G777</f>
        <v>18331.8</v>
      </c>
      <c r="H770" s="177"/>
    </row>
    <row r="771" spans="1:9" ht="15.75" x14ac:dyDescent="0.25">
      <c r="A771" s="23" t="s">
        <v>521</v>
      </c>
      <c r="B771" s="19">
        <v>908</v>
      </c>
      <c r="C771" s="24" t="s">
        <v>166</v>
      </c>
      <c r="D771" s="24" t="s">
        <v>315</v>
      </c>
      <c r="E771" s="24"/>
      <c r="F771" s="24"/>
      <c r="G771" s="21">
        <f>G772</f>
        <v>3207.7</v>
      </c>
      <c r="H771" s="177"/>
    </row>
    <row r="772" spans="1:9" ht="15.75" x14ac:dyDescent="0.25">
      <c r="A772" s="25" t="s">
        <v>137</v>
      </c>
      <c r="B772" s="16">
        <v>908</v>
      </c>
      <c r="C772" s="20" t="s">
        <v>166</v>
      </c>
      <c r="D772" s="20" t="s">
        <v>315</v>
      </c>
      <c r="E772" s="20" t="s">
        <v>138</v>
      </c>
      <c r="F772" s="24"/>
      <c r="G772" s="26">
        <f>G773</f>
        <v>3207.7</v>
      </c>
      <c r="H772" s="177"/>
    </row>
    <row r="773" spans="1:9" ht="15.75" x14ac:dyDescent="0.25">
      <c r="A773" s="25" t="s">
        <v>157</v>
      </c>
      <c r="B773" s="16">
        <v>908</v>
      </c>
      <c r="C773" s="20" t="s">
        <v>166</v>
      </c>
      <c r="D773" s="20" t="s">
        <v>315</v>
      </c>
      <c r="E773" s="20" t="s">
        <v>158</v>
      </c>
      <c r="F773" s="24"/>
      <c r="G773" s="26">
        <f>G774</f>
        <v>3207.7</v>
      </c>
      <c r="H773" s="177"/>
    </row>
    <row r="774" spans="1:9" ht="39.200000000000003" customHeight="1" x14ac:dyDescent="0.25">
      <c r="A774" s="25" t="s">
        <v>522</v>
      </c>
      <c r="B774" s="16">
        <v>908</v>
      </c>
      <c r="C774" s="20" t="s">
        <v>166</v>
      </c>
      <c r="D774" s="20" t="s">
        <v>315</v>
      </c>
      <c r="E774" s="20" t="s">
        <v>523</v>
      </c>
      <c r="F774" s="20"/>
      <c r="G774" s="26">
        <f>G775</f>
        <v>3207.7</v>
      </c>
      <c r="H774" s="177"/>
    </row>
    <row r="775" spans="1:9" ht="31.5" x14ac:dyDescent="0.25">
      <c r="A775" s="25" t="s">
        <v>147</v>
      </c>
      <c r="B775" s="16">
        <v>908</v>
      </c>
      <c r="C775" s="20" t="s">
        <v>166</v>
      </c>
      <c r="D775" s="20" t="s">
        <v>315</v>
      </c>
      <c r="E775" s="20" t="s">
        <v>523</v>
      </c>
      <c r="F775" s="20" t="s">
        <v>148</v>
      </c>
      <c r="G775" s="26">
        <f>G776</f>
        <v>3207.7</v>
      </c>
      <c r="H775" s="177"/>
    </row>
    <row r="776" spans="1:9" ht="47.25" x14ac:dyDescent="0.25">
      <c r="A776" s="25" t="s">
        <v>149</v>
      </c>
      <c r="B776" s="16">
        <v>908</v>
      </c>
      <c r="C776" s="20" t="s">
        <v>166</v>
      </c>
      <c r="D776" s="20" t="s">
        <v>315</v>
      </c>
      <c r="E776" s="20" t="s">
        <v>523</v>
      </c>
      <c r="F776" s="20" t="s">
        <v>150</v>
      </c>
      <c r="G776" s="26">
        <v>3207.7</v>
      </c>
      <c r="H776" s="177"/>
    </row>
    <row r="777" spans="1:9" ht="15.75" x14ac:dyDescent="0.25">
      <c r="A777" s="23" t="s">
        <v>524</v>
      </c>
      <c r="B777" s="19">
        <v>908</v>
      </c>
      <c r="C777" s="24" t="s">
        <v>166</v>
      </c>
      <c r="D777" s="24" t="s">
        <v>235</v>
      </c>
      <c r="E777" s="20"/>
      <c r="F777" s="24"/>
      <c r="G777" s="21">
        <f>G778</f>
        <v>15124.1</v>
      </c>
      <c r="H777" s="177"/>
    </row>
    <row r="778" spans="1:9" ht="47.25" x14ac:dyDescent="0.25">
      <c r="A778" s="31" t="s">
        <v>525</v>
      </c>
      <c r="B778" s="16">
        <v>908</v>
      </c>
      <c r="C778" s="20" t="s">
        <v>166</v>
      </c>
      <c r="D778" s="20" t="s">
        <v>235</v>
      </c>
      <c r="E778" s="20" t="s">
        <v>526</v>
      </c>
      <c r="F778" s="20"/>
      <c r="G778" s="26">
        <f>G779</f>
        <v>15124.1</v>
      </c>
      <c r="H778" s="177"/>
    </row>
    <row r="779" spans="1:9" ht="15.75" x14ac:dyDescent="0.25">
      <c r="A779" s="29" t="s">
        <v>527</v>
      </c>
      <c r="B779" s="16">
        <v>908</v>
      </c>
      <c r="C779" s="20" t="s">
        <v>166</v>
      </c>
      <c r="D779" s="20" t="s">
        <v>235</v>
      </c>
      <c r="E779" s="40" t="s">
        <v>528</v>
      </c>
      <c r="F779" s="20"/>
      <c r="G779" s="26">
        <f>G780+G782</f>
        <v>15124.1</v>
      </c>
      <c r="H779" s="177"/>
    </row>
    <row r="780" spans="1:9" ht="31.5" x14ac:dyDescent="0.25">
      <c r="A780" s="25" t="s">
        <v>147</v>
      </c>
      <c r="B780" s="16">
        <v>908</v>
      </c>
      <c r="C780" s="20" t="s">
        <v>166</v>
      </c>
      <c r="D780" s="20" t="s">
        <v>235</v>
      </c>
      <c r="E780" s="40" t="s">
        <v>528</v>
      </c>
      <c r="F780" s="20" t="s">
        <v>148</v>
      </c>
      <c r="G780" s="26">
        <f>G781</f>
        <v>15108.1</v>
      </c>
      <c r="H780" s="177"/>
    </row>
    <row r="781" spans="1:9" ht="47.25" x14ac:dyDescent="0.25">
      <c r="A781" s="25" t="s">
        <v>149</v>
      </c>
      <c r="B781" s="16">
        <v>908</v>
      </c>
      <c r="C781" s="20" t="s">
        <v>166</v>
      </c>
      <c r="D781" s="20" t="s">
        <v>235</v>
      </c>
      <c r="E781" s="40" t="s">
        <v>528</v>
      </c>
      <c r="F781" s="20" t="s">
        <v>150</v>
      </c>
      <c r="G781" s="26">
        <f>15124.1-10-6</f>
        <v>15108.1</v>
      </c>
      <c r="H781" s="120" t="s">
        <v>785</v>
      </c>
    </row>
    <row r="782" spans="1:9" ht="15.75" x14ac:dyDescent="0.25">
      <c r="A782" s="25" t="s">
        <v>151</v>
      </c>
      <c r="B782" s="16">
        <v>908</v>
      </c>
      <c r="C782" s="20" t="s">
        <v>166</v>
      </c>
      <c r="D782" s="20" t="s">
        <v>235</v>
      </c>
      <c r="E782" s="40" t="s">
        <v>528</v>
      </c>
      <c r="F782" s="20" t="s">
        <v>161</v>
      </c>
      <c r="G782" s="26">
        <f>G783</f>
        <v>16</v>
      </c>
      <c r="H782" s="177"/>
    </row>
    <row r="783" spans="1:9" ht="15.75" x14ac:dyDescent="0.25">
      <c r="A783" s="25" t="s">
        <v>584</v>
      </c>
      <c r="B783" s="16">
        <v>908</v>
      </c>
      <c r="C783" s="20" t="s">
        <v>166</v>
      </c>
      <c r="D783" s="20" t="s">
        <v>235</v>
      </c>
      <c r="E783" s="40" t="s">
        <v>528</v>
      </c>
      <c r="F783" s="20" t="s">
        <v>154</v>
      </c>
      <c r="G783" s="26">
        <f>10+6</f>
        <v>16</v>
      </c>
      <c r="H783" s="157" t="s">
        <v>786</v>
      </c>
    </row>
    <row r="784" spans="1:9" ht="15.75" x14ac:dyDescent="0.25">
      <c r="A784" s="23" t="s">
        <v>406</v>
      </c>
      <c r="B784" s="19">
        <v>908</v>
      </c>
      <c r="C784" s="24" t="s">
        <v>250</v>
      </c>
      <c r="D784" s="24"/>
      <c r="E784" s="24"/>
      <c r="F784" s="24"/>
      <c r="G784" s="21">
        <f>G785+G800+G847+G899</f>
        <v>108065.79000000001</v>
      </c>
      <c r="H784" s="177"/>
      <c r="I784" s="114"/>
    </row>
    <row r="785" spans="1:12" ht="15.75" x14ac:dyDescent="0.25">
      <c r="A785" s="23" t="s">
        <v>407</v>
      </c>
      <c r="B785" s="19">
        <v>908</v>
      </c>
      <c r="C785" s="24" t="s">
        <v>250</v>
      </c>
      <c r="D785" s="24" t="s">
        <v>134</v>
      </c>
      <c r="E785" s="24"/>
      <c r="F785" s="24"/>
      <c r="G785" s="21">
        <f>G786</f>
        <v>7765.4000000000005</v>
      </c>
      <c r="H785" s="177"/>
    </row>
    <row r="786" spans="1:12" ht="15.75" x14ac:dyDescent="0.25">
      <c r="A786" s="25" t="s">
        <v>137</v>
      </c>
      <c r="B786" s="16">
        <v>908</v>
      </c>
      <c r="C786" s="20" t="s">
        <v>250</v>
      </c>
      <c r="D786" s="20" t="s">
        <v>134</v>
      </c>
      <c r="E786" s="20" t="s">
        <v>138</v>
      </c>
      <c r="F786" s="20"/>
      <c r="G786" s="26">
        <f>G791</f>
        <v>7765.4000000000005</v>
      </c>
      <c r="H786" s="177"/>
    </row>
    <row r="787" spans="1:12" ht="31.5" hidden="1" x14ac:dyDescent="0.25">
      <c r="A787" s="25" t="s">
        <v>201</v>
      </c>
      <c r="B787" s="16">
        <v>908</v>
      </c>
      <c r="C787" s="20" t="s">
        <v>250</v>
      </c>
      <c r="D787" s="20" t="s">
        <v>134</v>
      </c>
      <c r="E787" s="20" t="s">
        <v>202</v>
      </c>
      <c r="F787" s="20"/>
      <c r="G787" s="26">
        <f>G788</f>
        <v>0</v>
      </c>
      <c r="H787" s="177"/>
    </row>
    <row r="788" spans="1:12" ht="15.75" hidden="1" x14ac:dyDescent="0.25">
      <c r="A788" s="25" t="s">
        <v>529</v>
      </c>
      <c r="B788" s="16">
        <v>908</v>
      </c>
      <c r="C788" s="20" t="s">
        <v>250</v>
      </c>
      <c r="D788" s="20" t="s">
        <v>134</v>
      </c>
      <c r="E788" s="20" t="s">
        <v>530</v>
      </c>
      <c r="F788" s="20"/>
      <c r="G788" s="26">
        <f>G789</f>
        <v>0</v>
      </c>
      <c r="H788" s="177"/>
    </row>
    <row r="789" spans="1:12" ht="15.75" hidden="1" x14ac:dyDescent="0.25">
      <c r="A789" s="25" t="s">
        <v>151</v>
      </c>
      <c r="B789" s="16">
        <v>908</v>
      </c>
      <c r="C789" s="20" t="s">
        <v>250</v>
      </c>
      <c r="D789" s="20" t="s">
        <v>134</v>
      </c>
      <c r="E789" s="20" t="s">
        <v>530</v>
      </c>
      <c r="F789" s="20" t="s">
        <v>161</v>
      </c>
      <c r="G789" s="26">
        <f>G790</f>
        <v>0</v>
      </c>
      <c r="H789" s="177"/>
    </row>
    <row r="790" spans="1:12" ht="63" hidden="1" x14ac:dyDescent="0.25">
      <c r="A790" s="25" t="s">
        <v>200</v>
      </c>
      <c r="B790" s="16">
        <v>908</v>
      </c>
      <c r="C790" s="20" t="s">
        <v>250</v>
      </c>
      <c r="D790" s="20" t="s">
        <v>134</v>
      </c>
      <c r="E790" s="20" t="s">
        <v>530</v>
      </c>
      <c r="F790" s="20" t="s">
        <v>176</v>
      </c>
      <c r="G790" s="26">
        <v>0</v>
      </c>
      <c r="H790" s="177"/>
    </row>
    <row r="791" spans="1:12" ht="15.75" x14ac:dyDescent="0.25">
      <c r="A791" s="25" t="s">
        <v>157</v>
      </c>
      <c r="B791" s="16">
        <v>908</v>
      </c>
      <c r="C791" s="20" t="s">
        <v>250</v>
      </c>
      <c r="D791" s="20" t="s">
        <v>134</v>
      </c>
      <c r="E791" s="20" t="s">
        <v>158</v>
      </c>
      <c r="F791" s="24"/>
      <c r="G791" s="26">
        <f>G792+G797</f>
        <v>7765.4000000000005</v>
      </c>
      <c r="H791" s="177"/>
    </row>
    <row r="792" spans="1:12" ht="15.75" x14ac:dyDescent="0.25">
      <c r="A792" s="25" t="s">
        <v>531</v>
      </c>
      <c r="B792" s="16">
        <v>908</v>
      </c>
      <c r="C792" s="20" t="s">
        <v>250</v>
      </c>
      <c r="D792" s="20" t="s">
        <v>134</v>
      </c>
      <c r="E792" s="20" t="s">
        <v>532</v>
      </c>
      <c r="F792" s="24"/>
      <c r="G792" s="26">
        <f>G795+G793</f>
        <v>3531.3</v>
      </c>
      <c r="H792" s="177"/>
    </row>
    <row r="793" spans="1:12" ht="31.5" x14ac:dyDescent="0.25">
      <c r="A793" s="25" t="s">
        <v>147</v>
      </c>
      <c r="B793" s="16">
        <v>908</v>
      </c>
      <c r="C793" s="20" t="s">
        <v>250</v>
      </c>
      <c r="D793" s="20" t="s">
        <v>134</v>
      </c>
      <c r="E793" s="20" t="s">
        <v>532</v>
      </c>
      <c r="F793" s="20" t="s">
        <v>148</v>
      </c>
      <c r="G793" s="26">
        <f>G794</f>
        <v>1131.3</v>
      </c>
      <c r="H793" s="177"/>
    </row>
    <row r="794" spans="1:12" ht="47.25" x14ac:dyDescent="0.25">
      <c r="A794" s="25" t="s">
        <v>149</v>
      </c>
      <c r="B794" s="16">
        <v>908</v>
      </c>
      <c r="C794" s="20" t="s">
        <v>250</v>
      </c>
      <c r="D794" s="20" t="s">
        <v>134</v>
      </c>
      <c r="E794" s="20" t="s">
        <v>532</v>
      </c>
      <c r="F794" s="20" t="s">
        <v>150</v>
      </c>
      <c r="G794" s="26">
        <v>1131.3</v>
      </c>
      <c r="H794" s="106"/>
      <c r="I794" s="125"/>
    </row>
    <row r="795" spans="1:12" ht="15.75" x14ac:dyDescent="0.25">
      <c r="A795" s="25" t="s">
        <v>151</v>
      </c>
      <c r="B795" s="16">
        <v>908</v>
      </c>
      <c r="C795" s="20" t="s">
        <v>250</v>
      </c>
      <c r="D795" s="20" t="s">
        <v>134</v>
      </c>
      <c r="E795" s="20" t="s">
        <v>532</v>
      </c>
      <c r="F795" s="20" t="s">
        <v>161</v>
      </c>
      <c r="G795" s="26">
        <f>G796</f>
        <v>2400</v>
      </c>
      <c r="H795" s="177"/>
    </row>
    <row r="796" spans="1:12" ht="63" x14ac:dyDescent="0.25">
      <c r="A796" s="25" t="s">
        <v>200</v>
      </c>
      <c r="B796" s="16">
        <v>908</v>
      </c>
      <c r="C796" s="20" t="s">
        <v>250</v>
      </c>
      <c r="D796" s="20" t="s">
        <v>134</v>
      </c>
      <c r="E796" s="20" t="s">
        <v>532</v>
      </c>
      <c r="F796" s="20" t="s">
        <v>176</v>
      </c>
      <c r="G796" s="26">
        <f>1500+900</f>
        <v>2400</v>
      </c>
      <c r="H796" s="177"/>
      <c r="I796" s="115"/>
    </row>
    <row r="797" spans="1:12" ht="31.5" x14ac:dyDescent="0.25">
      <c r="A797" s="29" t="s">
        <v>414</v>
      </c>
      <c r="B797" s="16">
        <v>908</v>
      </c>
      <c r="C797" s="20" t="s">
        <v>250</v>
      </c>
      <c r="D797" s="20" t="s">
        <v>134</v>
      </c>
      <c r="E797" s="20" t="s">
        <v>415</v>
      </c>
      <c r="F797" s="24"/>
      <c r="G797" s="26">
        <f>G798</f>
        <v>4234.1000000000004</v>
      </c>
      <c r="H797" s="177"/>
    </row>
    <row r="798" spans="1:12" ht="31.5" x14ac:dyDescent="0.25">
      <c r="A798" s="25" t="s">
        <v>147</v>
      </c>
      <c r="B798" s="16">
        <v>908</v>
      </c>
      <c r="C798" s="20" t="s">
        <v>250</v>
      </c>
      <c r="D798" s="20" t="s">
        <v>134</v>
      </c>
      <c r="E798" s="20" t="s">
        <v>415</v>
      </c>
      <c r="F798" s="20" t="s">
        <v>148</v>
      </c>
      <c r="G798" s="26">
        <f>G799</f>
        <v>4234.1000000000004</v>
      </c>
      <c r="H798" s="177"/>
    </row>
    <row r="799" spans="1:12" ht="47.25" x14ac:dyDescent="0.25">
      <c r="A799" s="25" t="s">
        <v>149</v>
      </c>
      <c r="B799" s="16">
        <v>908</v>
      </c>
      <c r="C799" s="20" t="s">
        <v>250</v>
      </c>
      <c r="D799" s="20" t="s">
        <v>134</v>
      </c>
      <c r="E799" s="20" t="s">
        <v>415</v>
      </c>
      <c r="F799" s="20" t="s">
        <v>150</v>
      </c>
      <c r="G799" s="27">
        <f>3811.8+422.3</f>
        <v>4234.1000000000004</v>
      </c>
      <c r="H799" s="177"/>
    </row>
    <row r="800" spans="1:12" ht="15.75" x14ac:dyDescent="0.25">
      <c r="A800" s="23" t="s">
        <v>533</v>
      </c>
      <c r="B800" s="19">
        <v>908</v>
      </c>
      <c r="C800" s="24" t="s">
        <v>250</v>
      </c>
      <c r="D800" s="24" t="s">
        <v>229</v>
      </c>
      <c r="E800" s="24"/>
      <c r="F800" s="24"/>
      <c r="G800" s="21">
        <f>G801+G826</f>
        <v>53711.1</v>
      </c>
      <c r="H800" s="177"/>
      <c r="I800" s="115"/>
      <c r="L800" s="116"/>
    </row>
    <row r="801" spans="1:10" ht="82.5" customHeight="1" x14ac:dyDescent="0.25">
      <c r="A801" s="25" t="s">
        <v>611</v>
      </c>
      <c r="B801" s="16">
        <v>908</v>
      </c>
      <c r="C801" s="20" t="s">
        <v>250</v>
      </c>
      <c r="D801" s="20" t="s">
        <v>229</v>
      </c>
      <c r="E801" s="20" t="s">
        <v>534</v>
      </c>
      <c r="F801" s="24"/>
      <c r="G801" s="26">
        <f>G805+G808+G811+G814+G817+G823</f>
        <v>5567.9000000000005</v>
      </c>
      <c r="H801" s="179"/>
      <c r="I801" s="115"/>
    </row>
    <row r="802" spans="1:10" ht="47.25" hidden="1" x14ac:dyDescent="0.25">
      <c r="A802" s="35" t="s">
        <v>535</v>
      </c>
      <c r="B802" s="16">
        <v>908</v>
      </c>
      <c r="C802" s="20" t="s">
        <v>250</v>
      </c>
      <c r="D802" s="20" t="s">
        <v>229</v>
      </c>
      <c r="E802" s="20" t="s">
        <v>536</v>
      </c>
      <c r="F802" s="20"/>
      <c r="G802" s="26">
        <f>G803</f>
        <v>0</v>
      </c>
      <c r="H802" s="177"/>
    </row>
    <row r="803" spans="1:10" ht="31.5" hidden="1" x14ac:dyDescent="0.25">
      <c r="A803" s="25" t="s">
        <v>147</v>
      </c>
      <c r="B803" s="16">
        <v>908</v>
      </c>
      <c r="C803" s="20" t="s">
        <v>250</v>
      </c>
      <c r="D803" s="20" t="s">
        <v>229</v>
      </c>
      <c r="E803" s="20" t="s">
        <v>536</v>
      </c>
      <c r="F803" s="20" t="s">
        <v>148</v>
      </c>
      <c r="G803" s="26">
        <f>G804</f>
        <v>0</v>
      </c>
      <c r="H803" s="177"/>
    </row>
    <row r="804" spans="1:10" ht="47.25" hidden="1" x14ac:dyDescent="0.25">
      <c r="A804" s="25" t="s">
        <v>149</v>
      </c>
      <c r="B804" s="16">
        <v>908</v>
      </c>
      <c r="C804" s="20" t="s">
        <v>250</v>
      </c>
      <c r="D804" s="20" t="s">
        <v>229</v>
      </c>
      <c r="E804" s="20" t="s">
        <v>536</v>
      </c>
      <c r="F804" s="20" t="s">
        <v>150</v>
      </c>
      <c r="G804" s="26">
        <v>0</v>
      </c>
      <c r="H804" s="177"/>
    </row>
    <row r="805" spans="1:10" ht="15.75" x14ac:dyDescent="0.25">
      <c r="A805" s="45" t="s">
        <v>537</v>
      </c>
      <c r="B805" s="16">
        <v>908</v>
      </c>
      <c r="C805" s="40" t="s">
        <v>250</v>
      </c>
      <c r="D805" s="40" t="s">
        <v>229</v>
      </c>
      <c r="E805" s="20" t="s">
        <v>538</v>
      </c>
      <c r="F805" s="40"/>
      <c r="G805" s="26">
        <f>G806</f>
        <v>450</v>
      </c>
      <c r="H805" s="177"/>
    </row>
    <row r="806" spans="1:10" ht="31.5" x14ac:dyDescent="0.25">
      <c r="A806" s="31" t="s">
        <v>147</v>
      </c>
      <c r="B806" s="16">
        <v>908</v>
      </c>
      <c r="C806" s="40" t="s">
        <v>250</v>
      </c>
      <c r="D806" s="40" t="s">
        <v>229</v>
      </c>
      <c r="E806" s="20" t="s">
        <v>538</v>
      </c>
      <c r="F806" s="40" t="s">
        <v>148</v>
      </c>
      <c r="G806" s="26">
        <f>G807</f>
        <v>450</v>
      </c>
      <c r="H806" s="177"/>
    </row>
    <row r="807" spans="1:10" ht="47.25" x14ac:dyDescent="0.25">
      <c r="A807" s="31" t="s">
        <v>149</v>
      </c>
      <c r="B807" s="16">
        <v>908</v>
      </c>
      <c r="C807" s="40" t="s">
        <v>250</v>
      </c>
      <c r="D807" s="40" t="s">
        <v>229</v>
      </c>
      <c r="E807" s="20" t="s">
        <v>538</v>
      </c>
      <c r="F807" s="40" t="s">
        <v>150</v>
      </c>
      <c r="G807" s="26">
        <v>450</v>
      </c>
      <c r="H807" s="177"/>
    </row>
    <row r="808" spans="1:10" ht="15.75" x14ac:dyDescent="0.25">
      <c r="A808" s="45" t="s">
        <v>539</v>
      </c>
      <c r="B808" s="16">
        <v>908</v>
      </c>
      <c r="C808" s="40" t="s">
        <v>250</v>
      </c>
      <c r="D808" s="40" t="s">
        <v>229</v>
      </c>
      <c r="E808" s="20" t="s">
        <v>540</v>
      </c>
      <c r="F808" s="40"/>
      <c r="G808" s="26">
        <f>G809</f>
        <v>3107</v>
      </c>
      <c r="H808" s="177"/>
    </row>
    <row r="809" spans="1:10" ht="31.5" x14ac:dyDescent="0.25">
      <c r="A809" s="31" t="s">
        <v>147</v>
      </c>
      <c r="B809" s="16">
        <v>908</v>
      </c>
      <c r="C809" s="40" t="s">
        <v>250</v>
      </c>
      <c r="D809" s="40" t="s">
        <v>229</v>
      </c>
      <c r="E809" s="20" t="s">
        <v>540</v>
      </c>
      <c r="F809" s="40" t="s">
        <v>148</v>
      </c>
      <c r="G809" s="26">
        <f>G810</f>
        <v>3107</v>
      </c>
      <c r="H809" s="177"/>
    </row>
    <row r="810" spans="1:10" ht="47.25" x14ac:dyDescent="0.25">
      <c r="A810" s="31" t="s">
        <v>149</v>
      </c>
      <c r="B810" s="16">
        <v>908</v>
      </c>
      <c r="C810" s="40" t="s">
        <v>250</v>
      </c>
      <c r="D810" s="40" t="s">
        <v>229</v>
      </c>
      <c r="E810" s="20" t="s">
        <v>540</v>
      </c>
      <c r="F810" s="40" t="s">
        <v>150</v>
      </c>
      <c r="G810" s="167">
        <f>110+20+2977</f>
        <v>3107</v>
      </c>
      <c r="H810" s="161" t="s">
        <v>767</v>
      </c>
    </row>
    <row r="811" spans="1:10" ht="15.75" x14ac:dyDescent="0.25">
      <c r="A811" s="45" t="s">
        <v>541</v>
      </c>
      <c r="B811" s="16">
        <v>908</v>
      </c>
      <c r="C811" s="40" t="s">
        <v>250</v>
      </c>
      <c r="D811" s="40" t="s">
        <v>229</v>
      </c>
      <c r="E811" s="20" t="s">
        <v>542</v>
      </c>
      <c r="F811" s="40"/>
      <c r="G811" s="26">
        <f>G812</f>
        <v>1374.6</v>
      </c>
      <c r="H811" s="177"/>
    </row>
    <row r="812" spans="1:10" ht="31.5" x14ac:dyDescent="0.25">
      <c r="A812" s="31" t="s">
        <v>147</v>
      </c>
      <c r="B812" s="16">
        <v>908</v>
      </c>
      <c r="C812" s="40" t="s">
        <v>250</v>
      </c>
      <c r="D812" s="40" t="s">
        <v>229</v>
      </c>
      <c r="E812" s="20" t="s">
        <v>542</v>
      </c>
      <c r="F812" s="40" t="s">
        <v>148</v>
      </c>
      <c r="G812" s="26">
        <f>G813</f>
        <v>1374.6</v>
      </c>
      <c r="H812" s="177"/>
    </row>
    <row r="813" spans="1:10" ht="47.25" x14ac:dyDescent="0.25">
      <c r="A813" s="31" t="s">
        <v>149</v>
      </c>
      <c r="B813" s="16">
        <v>908</v>
      </c>
      <c r="C813" s="40" t="s">
        <v>250</v>
      </c>
      <c r="D813" s="40" t="s">
        <v>229</v>
      </c>
      <c r="E813" s="20" t="s">
        <v>542</v>
      </c>
      <c r="F813" s="40" t="s">
        <v>150</v>
      </c>
      <c r="G813" s="167">
        <f>10+30+3534.6-2200</f>
        <v>1374.6</v>
      </c>
      <c r="H813" s="113" t="s">
        <v>773</v>
      </c>
      <c r="J813" s="169" t="s">
        <v>774</v>
      </c>
    </row>
    <row r="814" spans="1:10" ht="15.75" x14ac:dyDescent="0.25">
      <c r="A814" s="45" t="s">
        <v>543</v>
      </c>
      <c r="B814" s="16">
        <v>908</v>
      </c>
      <c r="C814" s="40" t="s">
        <v>250</v>
      </c>
      <c r="D814" s="40" t="s">
        <v>229</v>
      </c>
      <c r="E814" s="20" t="s">
        <v>544</v>
      </c>
      <c r="F814" s="40"/>
      <c r="G814" s="26">
        <f>G815</f>
        <v>159.10000000000002</v>
      </c>
      <c r="H814" s="177"/>
    </row>
    <row r="815" spans="1:10" ht="31.5" x14ac:dyDescent="0.25">
      <c r="A815" s="31" t="s">
        <v>147</v>
      </c>
      <c r="B815" s="16">
        <v>908</v>
      </c>
      <c r="C815" s="40" t="s">
        <v>250</v>
      </c>
      <c r="D815" s="40" t="s">
        <v>229</v>
      </c>
      <c r="E815" s="20" t="s">
        <v>544</v>
      </c>
      <c r="F815" s="40" t="s">
        <v>148</v>
      </c>
      <c r="G815" s="26">
        <f>G816</f>
        <v>159.10000000000002</v>
      </c>
      <c r="H815" s="177"/>
    </row>
    <row r="816" spans="1:10" ht="47.25" x14ac:dyDescent="0.25">
      <c r="A816" s="31" t="s">
        <v>149</v>
      </c>
      <c r="B816" s="16">
        <v>908</v>
      </c>
      <c r="C816" s="40" t="s">
        <v>250</v>
      </c>
      <c r="D816" s="40" t="s">
        <v>229</v>
      </c>
      <c r="E816" s="20" t="s">
        <v>544</v>
      </c>
      <c r="F816" s="40" t="s">
        <v>150</v>
      </c>
      <c r="G816" s="167">
        <f>250+5+681.1-522-255</f>
        <v>159.10000000000002</v>
      </c>
      <c r="H816" s="113" t="s">
        <v>768</v>
      </c>
    </row>
    <row r="817" spans="1:10" ht="15.75" x14ac:dyDescent="0.25">
      <c r="A817" s="45" t="s">
        <v>545</v>
      </c>
      <c r="B817" s="16">
        <v>908</v>
      </c>
      <c r="C817" s="40" t="s">
        <v>250</v>
      </c>
      <c r="D817" s="40" t="s">
        <v>229</v>
      </c>
      <c r="E817" s="20" t="s">
        <v>546</v>
      </c>
      <c r="F817" s="40"/>
      <c r="G817" s="26">
        <f>G818</f>
        <v>288.2</v>
      </c>
      <c r="H817" s="177"/>
    </row>
    <row r="818" spans="1:10" ht="31.5" x14ac:dyDescent="0.25">
      <c r="A818" s="31" t="s">
        <v>147</v>
      </c>
      <c r="B818" s="16">
        <v>908</v>
      </c>
      <c r="C818" s="40" t="s">
        <v>250</v>
      </c>
      <c r="D818" s="40" t="s">
        <v>229</v>
      </c>
      <c r="E818" s="20" t="s">
        <v>546</v>
      </c>
      <c r="F818" s="40" t="s">
        <v>148</v>
      </c>
      <c r="G818" s="26">
        <f>G819</f>
        <v>288.2</v>
      </c>
      <c r="H818" s="177"/>
    </row>
    <row r="819" spans="1:10" ht="47.25" x14ac:dyDescent="0.25">
      <c r="A819" s="31" t="s">
        <v>149</v>
      </c>
      <c r="B819" s="16">
        <v>908</v>
      </c>
      <c r="C819" s="40" t="s">
        <v>250</v>
      </c>
      <c r="D819" s="40" t="s">
        <v>229</v>
      </c>
      <c r="E819" s="20" t="s">
        <v>546</v>
      </c>
      <c r="F819" s="40" t="s">
        <v>150</v>
      </c>
      <c r="G819" s="26">
        <f>2+286.2</f>
        <v>288.2</v>
      </c>
      <c r="H819" s="113"/>
      <c r="J819" s="170" t="s">
        <v>775</v>
      </c>
    </row>
    <row r="820" spans="1:10" ht="31.5" hidden="1" x14ac:dyDescent="0.25">
      <c r="A820" s="178" t="s">
        <v>547</v>
      </c>
      <c r="B820" s="16">
        <v>908</v>
      </c>
      <c r="C820" s="40" t="s">
        <v>250</v>
      </c>
      <c r="D820" s="40" t="s">
        <v>229</v>
      </c>
      <c r="E820" s="20" t="s">
        <v>548</v>
      </c>
      <c r="F820" s="40"/>
      <c r="G820" s="26">
        <f>G821</f>
        <v>0</v>
      </c>
      <c r="H820" s="177"/>
    </row>
    <row r="821" spans="1:10" ht="31.5" hidden="1" x14ac:dyDescent="0.25">
      <c r="A821" s="31" t="s">
        <v>147</v>
      </c>
      <c r="B821" s="16">
        <v>908</v>
      </c>
      <c r="C821" s="40" t="s">
        <v>250</v>
      </c>
      <c r="D821" s="40" t="s">
        <v>229</v>
      </c>
      <c r="E821" s="20" t="s">
        <v>548</v>
      </c>
      <c r="F821" s="40" t="s">
        <v>148</v>
      </c>
      <c r="G821" s="26">
        <f>G822</f>
        <v>0</v>
      </c>
      <c r="H821" s="177"/>
    </row>
    <row r="822" spans="1:10" ht="47.25" hidden="1" x14ac:dyDescent="0.25">
      <c r="A822" s="31" t="s">
        <v>149</v>
      </c>
      <c r="B822" s="16">
        <v>908</v>
      </c>
      <c r="C822" s="40" t="s">
        <v>250</v>
      </c>
      <c r="D822" s="40" t="s">
        <v>229</v>
      </c>
      <c r="E822" s="20" t="s">
        <v>548</v>
      </c>
      <c r="F822" s="40" t="s">
        <v>150</v>
      </c>
      <c r="G822" s="26">
        <v>0</v>
      </c>
      <c r="H822" s="177"/>
    </row>
    <row r="823" spans="1:10" ht="15.75" x14ac:dyDescent="0.25">
      <c r="A823" s="178" t="s">
        <v>549</v>
      </c>
      <c r="B823" s="16">
        <v>908</v>
      </c>
      <c r="C823" s="40" t="s">
        <v>250</v>
      </c>
      <c r="D823" s="40" t="s">
        <v>229</v>
      </c>
      <c r="E823" s="20" t="s">
        <v>550</v>
      </c>
      <c r="F823" s="40"/>
      <c r="G823" s="26">
        <f>G824</f>
        <v>189</v>
      </c>
      <c r="H823" s="177"/>
    </row>
    <row r="824" spans="1:10" ht="31.5" x14ac:dyDescent="0.25">
      <c r="A824" s="25" t="s">
        <v>147</v>
      </c>
      <c r="B824" s="16">
        <v>908</v>
      </c>
      <c r="C824" s="40" t="s">
        <v>250</v>
      </c>
      <c r="D824" s="40" t="s">
        <v>229</v>
      </c>
      <c r="E824" s="20" t="s">
        <v>550</v>
      </c>
      <c r="F824" s="40" t="s">
        <v>148</v>
      </c>
      <c r="G824" s="26">
        <f>G825</f>
        <v>189</v>
      </c>
      <c r="H824" s="177"/>
    </row>
    <row r="825" spans="1:10" ht="47.25" x14ac:dyDescent="0.25">
      <c r="A825" s="25" t="s">
        <v>149</v>
      </c>
      <c r="B825" s="16">
        <v>908</v>
      </c>
      <c r="C825" s="40" t="s">
        <v>250</v>
      </c>
      <c r="D825" s="40" t="s">
        <v>229</v>
      </c>
      <c r="E825" s="20" t="s">
        <v>550</v>
      </c>
      <c r="F825" s="40" t="s">
        <v>150</v>
      </c>
      <c r="G825" s="26">
        <f>15+174</f>
        <v>189</v>
      </c>
      <c r="H825" s="113"/>
      <c r="J825" s="170" t="s">
        <v>776</v>
      </c>
    </row>
    <row r="826" spans="1:10" ht="15.75" x14ac:dyDescent="0.25">
      <c r="A826" s="25" t="s">
        <v>137</v>
      </c>
      <c r="B826" s="16">
        <v>908</v>
      </c>
      <c r="C826" s="20" t="s">
        <v>250</v>
      </c>
      <c r="D826" s="20" t="s">
        <v>229</v>
      </c>
      <c r="E826" s="20" t="s">
        <v>138</v>
      </c>
      <c r="F826" s="20"/>
      <c r="G826" s="26">
        <f>G827+G837</f>
        <v>48143.199999999997</v>
      </c>
      <c r="H826" s="177"/>
    </row>
    <row r="827" spans="1:10" ht="31.5" x14ac:dyDescent="0.25">
      <c r="A827" s="25" t="s">
        <v>201</v>
      </c>
      <c r="B827" s="16">
        <v>908</v>
      </c>
      <c r="C827" s="20" t="s">
        <v>250</v>
      </c>
      <c r="D827" s="20" t="s">
        <v>229</v>
      </c>
      <c r="E827" s="20" t="s">
        <v>202</v>
      </c>
      <c r="F827" s="20"/>
      <c r="G827" s="26">
        <f>G828+G831+G834</f>
        <v>25111.200000000001</v>
      </c>
      <c r="H827" s="177"/>
    </row>
    <row r="828" spans="1:10" ht="47.25" x14ac:dyDescent="0.25">
      <c r="A828" s="100" t="s">
        <v>698</v>
      </c>
      <c r="B828" s="16">
        <v>908</v>
      </c>
      <c r="C828" s="20" t="s">
        <v>250</v>
      </c>
      <c r="D828" s="20" t="s">
        <v>229</v>
      </c>
      <c r="E828" s="20" t="s">
        <v>551</v>
      </c>
      <c r="F828" s="20"/>
      <c r="G828" s="26">
        <f>G829</f>
        <v>5000</v>
      </c>
      <c r="H828" s="177"/>
    </row>
    <row r="829" spans="1:10" ht="31.5" x14ac:dyDescent="0.25">
      <c r="A829" s="25" t="s">
        <v>147</v>
      </c>
      <c r="B829" s="16">
        <v>908</v>
      </c>
      <c r="C829" s="20" t="s">
        <v>250</v>
      </c>
      <c r="D829" s="20" t="s">
        <v>229</v>
      </c>
      <c r="E829" s="20" t="s">
        <v>551</v>
      </c>
      <c r="F829" s="20" t="s">
        <v>148</v>
      </c>
      <c r="G829" s="26">
        <f>G830</f>
        <v>5000</v>
      </c>
      <c r="H829" s="177"/>
    </row>
    <row r="830" spans="1:10" ht="47.25" x14ac:dyDescent="0.25">
      <c r="A830" s="25" t="s">
        <v>149</v>
      </c>
      <c r="B830" s="16">
        <v>908</v>
      </c>
      <c r="C830" s="20" t="s">
        <v>250</v>
      </c>
      <c r="D830" s="20" t="s">
        <v>229</v>
      </c>
      <c r="E830" s="20" t="s">
        <v>551</v>
      </c>
      <c r="F830" s="20" t="s">
        <v>150</v>
      </c>
      <c r="G830" s="26">
        <f>5000</f>
        <v>5000</v>
      </c>
      <c r="H830" s="177"/>
      <c r="I830" s="115"/>
    </row>
    <row r="831" spans="1:10" ht="31.5" x14ac:dyDescent="0.25">
      <c r="A831" s="35" t="s">
        <v>704</v>
      </c>
      <c r="B831" s="16">
        <v>908</v>
      </c>
      <c r="C831" s="20" t="s">
        <v>250</v>
      </c>
      <c r="D831" s="20" t="s">
        <v>229</v>
      </c>
      <c r="E831" s="20" t="s">
        <v>552</v>
      </c>
      <c r="F831" s="20"/>
      <c r="G831" s="26">
        <f>G832</f>
        <v>20000</v>
      </c>
      <c r="H831" s="177"/>
    </row>
    <row r="832" spans="1:10" ht="31.5" x14ac:dyDescent="0.25">
      <c r="A832" s="25" t="s">
        <v>147</v>
      </c>
      <c r="B832" s="16">
        <v>908</v>
      </c>
      <c r="C832" s="20" t="s">
        <v>250</v>
      </c>
      <c r="D832" s="20" t="s">
        <v>229</v>
      </c>
      <c r="E832" s="20" t="s">
        <v>552</v>
      </c>
      <c r="F832" s="20" t="s">
        <v>148</v>
      </c>
      <c r="G832" s="26">
        <f>G833</f>
        <v>20000</v>
      </c>
      <c r="H832" s="177"/>
    </row>
    <row r="833" spans="1:10" ht="47.25" x14ac:dyDescent="0.25">
      <c r="A833" s="25" t="s">
        <v>149</v>
      </c>
      <c r="B833" s="16">
        <v>908</v>
      </c>
      <c r="C833" s="20" t="s">
        <v>250</v>
      </c>
      <c r="D833" s="20" t="s">
        <v>229</v>
      </c>
      <c r="E833" s="20" t="s">
        <v>552</v>
      </c>
      <c r="F833" s="20" t="s">
        <v>150</v>
      </c>
      <c r="G833" s="26">
        <v>20000</v>
      </c>
      <c r="H833" s="106"/>
    </row>
    <row r="834" spans="1:10" ht="47.25" x14ac:dyDescent="0.25">
      <c r="A834" s="25" t="s">
        <v>705</v>
      </c>
      <c r="B834" s="16">
        <v>908</v>
      </c>
      <c r="C834" s="20" t="s">
        <v>250</v>
      </c>
      <c r="D834" s="20" t="s">
        <v>229</v>
      </c>
      <c r="E834" s="20" t="s">
        <v>706</v>
      </c>
      <c r="F834" s="20"/>
      <c r="G834" s="26">
        <f>G835</f>
        <v>111.2</v>
      </c>
      <c r="H834" s="108"/>
    </row>
    <row r="835" spans="1:10" ht="31.5" x14ac:dyDescent="0.25">
      <c r="A835" s="25" t="s">
        <v>147</v>
      </c>
      <c r="B835" s="16">
        <v>908</v>
      </c>
      <c r="C835" s="20" t="s">
        <v>250</v>
      </c>
      <c r="D835" s="20" t="s">
        <v>229</v>
      </c>
      <c r="E835" s="20" t="s">
        <v>706</v>
      </c>
      <c r="F835" s="20" t="s">
        <v>148</v>
      </c>
      <c r="G835" s="26">
        <f>G836</f>
        <v>111.2</v>
      </c>
      <c r="H835" s="108"/>
    </row>
    <row r="836" spans="1:10" ht="47.25" x14ac:dyDescent="0.25">
      <c r="A836" s="25" t="s">
        <v>149</v>
      </c>
      <c r="B836" s="16">
        <v>908</v>
      </c>
      <c r="C836" s="20" t="s">
        <v>250</v>
      </c>
      <c r="D836" s="20" t="s">
        <v>229</v>
      </c>
      <c r="E836" s="20" t="s">
        <v>706</v>
      </c>
      <c r="F836" s="20" t="s">
        <v>150</v>
      </c>
      <c r="G836" s="26">
        <v>111.2</v>
      </c>
      <c r="H836" s="108"/>
    </row>
    <row r="837" spans="1:10" ht="15.75" x14ac:dyDescent="0.25">
      <c r="A837" s="25" t="s">
        <v>157</v>
      </c>
      <c r="B837" s="16">
        <v>908</v>
      </c>
      <c r="C837" s="20" t="s">
        <v>250</v>
      </c>
      <c r="D837" s="20" t="s">
        <v>229</v>
      </c>
      <c r="E837" s="20" t="s">
        <v>158</v>
      </c>
      <c r="F837" s="20"/>
      <c r="G837" s="26">
        <f>G838+G844</f>
        <v>23031.999999999996</v>
      </c>
      <c r="H837" s="177"/>
    </row>
    <row r="838" spans="1:10" ht="31.5" x14ac:dyDescent="0.25">
      <c r="A838" s="35" t="s">
        <v>553</v>
      </c>
      <c r="B838" s="16">
        <v>908</v>
      </c>
      <c r="C838" s="20" t="s">
        <v>250</v>
      </c>
      <c r="D838" s="20" t="s">
        <v>229</v>
      </c>
      <c r="E838" s="20" t="s">
        <v>554</v>
      </c>
      <c r="F838" s="20"/>
      <c r="G838" s="26">
        <f>G839+G841</f>
        <v>20353.699999999997</v>
      </c>
      <c r="H838" s="177"/>
    </row>
    <row r="839" spans="1:10" ht="31.5" x14ac:dyDescent="0.25">
      <c r="A839" s="25" t="s">
        <v>147</v>
      </c>
      <c r="B839" s="16">
        <v>908</v>
      </c>
      <c r="C839" s="20" t="s">
        <v>250</v>
      </c>
      <c r="D839" s="20" t="s">
        <v>229</v>
      </c>
      <c r="E839" s="20" t="s">
        <v>554</v>
      </c>
      <c r="F839" s="20" t="s">
        <v>148</v>
      </c>
      <c r="G839" s="26">
        <f>G840</f>
        <v>20322.099999999999</v>
      </c>
      <c r="H839" s="177"/>
    </row>
    <row r="840" spans="1:10" ht="47.25" x14ac:dyDescent="0.25">
      <c r="A840" s="25" t="s">
        <v>149</v>
      </c>
      <c r="B840" s="16">
        <v>908</v>
      </c>
      <c r="C840" s="20" t="s">
        <v>250</v>
      </c>
      <c r="D840" s="20" t="s">
        <v>229</v>
      </c>
      <c r="E840" s="20" t="s">
        <v>554</v>
      </c>
      <c r="F840" s="20" t="s">
        <v>150</v>
      </c>
      <c r="G840" s="162">
        <f>10880-5000-2230+172.1+16500</f>
        <v>20322.099999999999</v>
      </c>
      <c r="H840" s="106" t="s">
        <v>772</v>
      </c>
      <c r="I840" s="115"/>
      <c r="J840" s="171" t="s">
        <v>741</v>
      </c>
    </row>
    <row r="841" spans="1:10" ht="15.75" x14ac:dyDescent="0.25">
      <c r="A841" s="25" t="s">
        <v>151</v>
      </c>
      <c r="B841" s="16">
        <v>908</v>
      </c>
      <c r="C841" s="20" t="s">
        <v>250</v>
      </c>
      <c r="D841" s="20" t="s">
        <v>229</v>
      </c>
      <c r="E841" s="20" t="s">
        <v>554</v>
      </c>
      <c r="F841" s="20" t="s">
        <v>161</v>
      </c>
      <c r="G841" s="26">
        <f>G842+G843</f>
        <v>31.6</v>
      </c>
      <c r="H841" s="177"/>
    </row>
    <row r="842" spans="1:10" ht="63" hidden="1" x14ac:dyDescent="0.25">
      <c r="A842" s="25" t="s">
        <v>200</v>
      </c>
      <c r="B842" s="16">
        <v>908</v>
      </c>
      <c r="C842" s="20" t="s">
        <v>250</v>
      </c>
      <c r="D842" s="20" t="s">
        <v>229</v>
      </c>
      <c r="E842" s="20" t="s">
        <v>554</v>
      </c>
      <c r="F842" s="20" t="s">
        <v>176</v>
      </c>
      <c r="G842" s="26">
        <v>0</v>
      </c>
      <c r="H842" s="177"/>
    </row>
    <row r="843" spans="1:10" ht="15.75" x14ac:dyDescent="0.25">
      <c r="A843" s="25" t="s">
        <v>584</v>
      </c>
      <c r="B843" s="16">
        <v>908</v>
      </c>
      <c r="C843" s="20" t="s">
        <v>250</v>
      </c>
      <c r="D843" s="20" t="s">
        <v>229</v>
      </c>
      <c r="E843" s="20" t="s">
        <v>554</v>
      </c>
      <c r="F843" s="20" t="s">
        <v>154</v>
      </c>
      <c r="G843" s="26">
        <v>31.6</v>
      </c>
      <c r="H843" s="106"/>
      <c r="I843" s="124"/>
    </row>
    <row r="844" spans="1:10" ht="15.75" x14ac:dyDescent="0.25">
      <c r="A844" s="25" t="s">
        <v>555</v>
      </c>
      <c r="B844" s="16">
        <v>908</v>
      </c>
      <c r="C844" s="20" t="s">
        <v>250</v>
      </c>
      <c r="D844" s="20" t="s">
        <v>229</v>
      </c>
      <c r="E844" s="20" t="s">
        <v>556</v>
      </c>
      <c r="F844" s="20"/>
      <c r="G844" s="26">
        <f>G845</f>
        <v>2678.3</v>
      </c>
      <c r="H844" s="177"/>
    </row>
    <row r="845" spans="1:10" ht="15.75" x14ac:dyDescent="0.25">
      <c r="A845" s="25" t="s">
        <v>151</v>
      </c>
      <c r="B845" s="16">
        <v>908</v>
      </c>
      <c r="C845" s="20" t="s">
        <v>250</v>
      </c>
      <c r="D845" s="20" t="s">
        <v>229</v>
      </c>
      <c r="E845" s="20" t="s">
        <v>556</v>
      </c>
      <c r="F845" s="20" t="s">
        <v>161</v>
      </c>
      <c r="G845" s="26">
        <f>G846</f>
        <v>2678.3</v>
      </c>
      <c r="H845" s="177"/>
    </row>
    <row r="846" spans="1:10" ht="15.75" x14ac:dyDescent="0.25">
      <c r="A846" s="25" t="s">
        <v>162</v>
      </c>
      <c r="B846" s="16">
        <v>908</v>
      </c>
      <c r="C846" s="20" t="s">
        <v>250</v>
      </c>
      <c r="D846" s="20" t="s">
        <v>229</v>
      </c>
      <c r="E846" s="20" t="s">
        <v>556</v>
      </c>
      <c r="F846" s="20" t="s">
        <v>163</v>
      </c>
      <c r="G846" s="26">
        <v>2678.3</v>
      </c>
      <c r="H846" s="177"/>
      <c r="I846" s="115"/>
    </row>
    <row r="847" spans="1:10" ht="15.75" x14ac:dyDescent="0.25">
      <c r="A847" s="23" t="s">
        <v>557</v>
      </c>
      <c r="B847" s="19">
        <v>908</v>
      </c>
      <c r="C847" s="24" t="s">
        <v>250</v>
      </c>
      <c r="D847" s="24" t="s">
        <v>231</v>
      </c>
      <c r="E847" s="24"/>
      <c r="F847" s="24"/>
      <c r="G847" s="21">
        <f>G848++G878+G874</f>
        <v>25464.6</v>
      </c>
      <c r="H847" s="177"/>
    </row>
    <row r="848" spans="1:10" ht="47.25" x14ac:dyDescent="0.25">
      <c r="A848" s="25" t="s">
        <v>558</v>
      </c>
      <c r="B848" s="16">
        <v>908</v>
      </c>
      <c r="C848" s="20" t="s">
        <v>250</v>
      </c>
      <c r="D848" s="20" t="s">
        <v>231</v>
      </c>
      <c r="E848" s="20" t="s">
        <v>559</v>
      </c>
      <c r="F848" s="20"/>
      <c r="G848" s="26">
        <f>G849+G859</f>
        <v>12375.499999999998</v>
      </c>
      <c r="H848" s="177"/>
    </row>
    <row r="849" spans="1:8" ht="47.25" x14ac:dyDescent="0.25">
      <c r="A849" s="25" t="s">
        <v>560</v>
      </c>
      <c r="B849" s="16">
        <v>908</v>
      </c>
      <c r="C849" s="20" t="s">
        <v>250</v>
      </c>
      <c r="D849" s="20" t="s">
        <v>231</v>
      </c>
      <c r="E849" s="20" t="s">
        <v>561</v>
      </c>
      <c r="F849" s="20"/>
      <c r="G849" s="26">
        <f>G850+G853+G856</f>
        <v>8697.2999999999993</v>
      </c>
      <c r="H849" s="177"/>
    </row>
    <row r="850" spans="1:8" ht="31.5" x14ac:dyDescent="0.25">
      <c r="A850" s="25" t="s">
        <v>562</v>
      </c>
      <c r="B850" s="16">
        <v>908</v>
      </c>
      <c r="C850" s="20" t="s">
        <v>250</v>
      </c>
      <c r="D850" s="20" t="s">
        <v>231</v>
      </c>
      <c r="E850" s="20" t="s">
        <v>563</v>
      </c>
      <c r="F850" s="20"/>
      <c r="G850" s="26">
        <f>G851</f>
        <v>253.4</v>
      </c>
      <c r="H850" s="177"/>
    </row>
    <row r="851" spans="1:8" ht="31.5" x14ac:dyDescent="0.25">
      <c r="A851" s="25" t="s">
        <v>147</v>
      </c>
      <c r="B851" s="16">
        <v>908</v>
      </c>
      <c r="C851" s="20" t="s">
        <v>250</v>
      </c>
      <c r="D851" s="20" t="s">
        <v>231</v>
      </c>
      <c r="E851" s="20" t="s">
        <v>563</v>
      </c>
      <c r="F851" s="20" t="s">
        <v>148</v>
      </c>
      <c r="G851" s="26">
        <f>G852</f>
        <v>253.4</v>
      </c>
      <c r="H851" s="177"/>
    </row>
    <row r="852" spans="1:8" ht="47.25" x14ac:dyDescent="0.25">
      <c r="A852" s="25" t="s">
        <v>149</v>
      </c>
      <c r="B852" s="16">
        <v>908</v>
      </c>
      <c r="C852" s="20" t="s">
        <v>250</v>
      </c>
      <c r="D852" s="20" t="s">
        <v>231</v>
      </c>
      <c r="E852" s="20" t="s">
        <v>563</v>
      </c>
      <c r="F852" s="20" t="s">
        <v>150</v>
      </c>
      <c r="G852" s="26">
        <v>253.4</v>
      </c>
      <c r="H852" s="177"/>
    </row>
    <row r="853" spans="1:8" ht="15.75" x14ac:dyDescent="0.25">
      <c r="A853" s="25" t="s">
        <v>564</v>
      </c>
      <c r="B853" s="16">
        <v>908</v>
      </c>
      <c r="C853" s="20" t="s">
        <v>250</v>
      </c>
      <c r="D853" s="20" t="s">
        <v>231</v>
      </c>
      <c r="E853" s="20" t="s">
        <v>565</v>
      </c>
      <c r="F853" s="20"/>
      <c r="G853" s="26">
        <f>G854</f>
        <v>5258.6</v>
      </c>
      <c r="H853" s="177"/>
    </row>
    <row r="854" spans="1:8" ht="31.5" x14ac:dyDescent="0.25">
      <c r="A854" s="25" t="s">
        <v>147</v>
      </c>
      <c r="B854" s="16">
        <v>908</v>
      </c>
      <c r="C854" s="20" t="s">
        <v>250</v>
      </c>
      <c r="D854" s="20" t="s">
        <v>231</v>
      </c>
      <c r="E854" s="20" t="s">
        <v>565</v>
      </c>
      <c r="F854" s="20" t="s">
        <v>148</v>
      </c>
      <c r="G854" s="26">
        <f>G855</f>
        <v>5258.6</v>
      </c>
      <c r="H854" s="177"/>
    </row>
    <row r="855" spans="1:8" ht="47.25" x14ac:dyDescent="0.25">
      <c r="A855" s="25" t="s">
        <v>149</v>
      </c>
      <c r="B855" s="16">
        <v>908</v>
      </c>
      <c r="C855" s="20" t="s">
        <v>250</v>
      </c>
      <c r="D855" s="20" t="s">
        <v>231</v>
      </c>
      <c r="E855" s="20" t="s">
        <v>565</v>
      </c>
      <c r="F855" s="20" t="s">
        <v>150</v>
      </c>
      <c r="G855" s="26">
        <v>5258.6</v>
      </c>
      <c r="H855" s="177"/>
    </row>
    <row r="856" spans="1:8" ht="15.75" x14ac:dyDescent="0.25">
      <c r="A856" s="25" t="s">
        <v>566</v>
      </c>
      <c r="B856" s="16">
        <v>908</v>
      </c>
      <c r="C856" s="20" t="s">
        <v>250</v>
      </c>
      <c r="D856" s="20" t="s">
        <v>231</v>
      </c>
      <c r="E856" s="20" t="s">
        <v>567</v>
      </c>
      <c r="F856" s="20"/>
      <c r="G856" s="26">
        <f>G857</f>
        <v>3185.3</v>
      </c>
      <c r="H856" s="177"/>
    </row>
    <row r="857" spans="1:8" ht="31.5" x14ac:dyDescent="0.25">
      <c r="A857" s="25" t="s">
        <v>147</v>
      </c>
      <c r="B857" s="16">
        <v>908</v>
      </c>
      <c r="C857" s="20" t="s">
        <v>250</v>
      </c>
      <c r="D857" s="20" t="s">
        <v>231</v>
      </c>
      <c r="E857" s="20" t="s">
        <v>567</v>
      </c>
      <c r="F857" s="20" t="s">
        <v>148</v>
      </c>
      <c r="G857" s="26">
        <f>G858</f>
        <v>3185.3</v>
      </c>
      <c r="H857" s="177"/>
    </row>
    <row r="858" spans="1:8" ht="47.25" x14ac:dyDescent="0.25">
      <c r="A858" s="25" t="s">
        <v>149</v>
      </c>
      <c r="B858" s="16">
        <v>908</v>
      </c>
      <c r="C858" s="20" t="s">
        <v>250</v>
      </c>
      <c r="D858" s="20" t="s">
        <v>231</v>
      </c>
      <c r="E858" s="20" t="s">
        <v>567</v>
      </c>
      <c r="F858" s="20" t="s">
        <v>150</v>
      </c>
      <c r="G858" s="26">
        <v>3185.3</v>
      </c>
      <c r="H858" s="177"/>
    </row>
    <row r="859" spans="1:8" ht="47.25" x14ac:dyDescent="0.25">
      <c r="A859" s="25" t="s">
        <v>568</v>
      </c>
      <c r="B859" s="16">
        <v>908</v>
      </c>
      <c r="C859" s="20" t="s">
        <v>250</v>
      </c>
      <c r="D859" s="20" t="s">
        <v>231</v>
      </c>
      <c r="E859" s="20" t="s">
        <v>569</v>
      </c>
      <c r="F859" s="20"/>
      <c r="G859" s="26">
        <f>G860+G865+G868+G871</f>
        <v>3678.1999999999994</v>
      </c>
      <c r="H859" s="177"/>
    </row>
    <row r="860" spans="1:8" ht="15.75" x14ac:dyDescent="0.25">
      <c r="A860" s="25" t="s">
        <v>566</v>
      </c>
      <c r="B860" s="16">
        <v>908</v>
      </c>
      <c r="C860" s="20" t="s">
        <v>250</v>
      </c>
      <c r="D860" s="20" t="s">
        <v>231</v>
      </c>
      <c r="E860" s="20" t="s">
        <v>570</v>
      </c>
      <c r="F860" s="20"/>
      <c r="G860" s="26">
        <f>G861+G863</f>
        <v>1112.3999999999999</v>
      </c>
      <c r="H860" s="177"/>
    </row>
    <row r="861" spans="1:8" ht="94.5" x14ac:dyDescent="0.25">
      <c r="A861" s="25" t="s">
        <v>143</v>
      </c>
      <c r="B861" s="16">
        <v>908</v>
      </c>
      <c r="C861" s="20" t="s">
        <v>250</v>
      </c>
      <c r="D861" s="20" t="s">
        <v>231</v>
      </c>
      <c r="E861" s="20" t="s">
        <v>570</v>
      </c>
      <c r="F861" s="20" t="s">
        <v>144</v>
      </c>
      <c r="G861" s="26">
        <f>G862</f>
        <v>892.8</v>
      </c>
      <c r="H861" s="177"/>
    </row>
    <row r="862" spans="1:8" ht="31.5" x14ac:dyDescent="0.25">
      <c r="A862" s="46" t="s">
        <v>358</v>
      </c>
      <c r="B862" s="16">
        <v>908</v>
      </c>
      <c r="C862" s="20" t="s">
        <v>250</v>
      </c>
      <c r="D862" s="20" t="s">
        <v>231</v>
      </c>
      <c r="E862" s="20" t="s">
        <v>570</v>
      </c>
      <c r="F862" s="20" t="s">
        <v>225</v>
      </c>
      <c r="G862" s="26">
        <f>801.5+91.3</f>
        <v>892.8</v>
      </c>
      <c r="H862" s="106"/>
    </row>
    <row r="863" spans="1:8" ht="31.5" x14ac:dyDescent="0.25">
      <c r="A863" s="25" t="s">
        <v>147</v>
      </c>
      <c r="B863" s="16">
        <v>908</v>
      </c>
      <c r="C863" s="20" t="s">
        <v>250</v>
      </c>
      <c r="D863" s="20" t="s">
        <v>231</v>
      </c>
      <c r="E863" s="20" t="s">
        <v>570</v>
      </c>
      <c r="F863" s="20" t="s">
        <v>148</v>
      </c>
      <c r="G863" s="26">
        <f>G864</f>
        <v>219.6</v>
      </c>
      <c r="H863" s="177"/>
    </row>
    <row r="864" spans="1:8" ht="47.25" x14ac:dyDescent="0.25">
      <c r="A864" s="25" t="s">
        <v>149</v>
      </c>
      <c r="B864" s="16">
        <v>908</v>
      </c>
      <c r="C864" s="20" t="s">
        <v>250</v>
      </c>
      <c r="D864" s="20" t="s">
        <v>231</v>
      </c>
      <c r="E864" s="20" t="s">
        <v>570</v>
      </c>
      <c r="F864" s="20" t="s">
        <v>150</v>
      </c>
      <c r="G864" s="26">
        <v>219.6</v>
      </c>
      <c r="H864" s="177"/>
    </row>
    <row r="865" spans="1:8" ht="15.75" x14ac:dyDescent="0.25">
      <c r="A865" s="25" t="s">
        <v>571</v>
      </c>
      <c r="B865" s="16">
        <v>908</v>
      </c>
      <c r="C865" s="20" t="s">
        <v>250</v>
      </c>
      <c r="D865" s="20" t="s">
        <v>231</v>
      </c>
      <c r="E865" s="20" t="s">
        <v>572</v>
      </c>
      <c r="F865" s="20"/>
      <c r="G865" s="26">
        <f>G866</f>
        <v>86.6</v>
      </c>
      <c r="H865" s="177"/>
    </row>
    <row r="866" spans="1:8" ht="31.5" x14ac:dyDescent="0.25">
      <c r="A866" s="25" t="s">
        <v>147</v>
      </c>
      <c r="B866" s="16">
        <v>908</v>
      </c>
      <c r="C866" s="20" t="s">
        <v>250</v>
      </c>
      <c r="D866" s="20" t="s">
        <v>231</v>
      </c>
      <c r="E866" s="20" t="s">
        <v>572</v>
      </c>
      <c r="F866" s="20" t="s">
        <v>148</v>
      </c>
      <c r="G866" s="26">
        <f>G867</f>
        <v>86.6</v>
      </c>
      <c r="H866" s="177"/>
    </row>
    <row r="867" spans="1:8" ht="47.25" x14ac:dyDescent="0.25">
      <c r="A867" s="25" t="s">
        <v>149</v>
      </c>
      <c r="B867" s="16">
        <v>908</v>
      </c>
      <c r="C867" s="20" t="s">
        <v>250</v>
      </c>
      <c r="D867" s="20" t="s">
        <v>231</v>
      </c>
      <c r="E867" s="20" t="s">
        <v>572</v>
      </c>
      <c r="F867" s="20" t="s">
        <v>150</v>
      </c>
      <c r="G867" s="26">
        <v>86.6</v>
      </c>
      <c r="H867" s="177"/>
    </row>
    <row r="868" spans="1:8" ht="47.25" x14ac:dyDescent="0.25">
      <c r="A868" s="45" t="s">
        <v>573</v>
      </c>
      <c r="B868" s="16">
        <v>908</v>
      </c>
      <c r="C868" s="20" t="s">
        <v>250</v>
      </c>
      <c r="D868" s="20" t="s">
        <v>231</v>
      </c>
      <c r="E868" s="20" t="s">
        <v>574</v>
      </c>
      <c r="F868" s="20"/>
      <c r="G868" s="26">
        <f>G869</f>
        <v>2130.6</v>
      </c>
      <c r="H868" s="177"/>
    </row>
    <row r="869" spans="1:8" ht="31.5" x14ac:dyDescent="0.25">
      <c r="A869" s="25" t="s">
        <v>147</v>
      </c>
      <c r="B869" s="16">
        <v>908</v>
      </c>
      <c r="C869" s="20" t="s">
        <v>250</v>
      </c>
      <c r="D869" s="20" t="s">
        <v>231</v>
      </c>
      <c r="E869" s="20" t="s">
        <v>574</v>
      </c>
      <c r="F869" s="20" t="s">
        <v>148</v>
      </c>
      <c r="G869" s="26">
        <f>G870</f>
        <v>2130.6</v>
      </c>
      <c r="H869" s="177"/>
    </row>
    <row r="870" spans="1:8" ht="47.25" x14ac:dyDescent="0.25">
      <c r="A870" s="25" t="s">
        <v>149</v>
      </c>
      <c r="B870" s="16">
        <v>908</v>
      </c>
      <c r="C870" s="20" t="s">
        <v>250</v>
      </c>
      <c r="D870" s="20" t="s">
        <v>231</v>
      </c>
      <c r="E870" s="20" t="s">
        <v>574</v>
      </c>
      <c r="F870" s="20" t="s">
        <v>150</v>
      </c>
      <c r="G870" s="26">
        <v>2130.6</v>
      </c>
      <c r="H870" s="177"/>
    </row>
    <row r="871" spans="1:8" ht="31.5" x14ac:dyDescent="0.25">
      <c r="A871" s="45" t="s">
        <v>575</v>
      </c>
      <c r="B871" s="16">
        <v>908</v>
      </c>
      <c r="C871" s="20" t="s">
        <v>250</v>
      </c>
      <c r="D871" s="20" t="s">
        <v>231</v>
      </c>
      <c r="E871" s="20" t="s">
        <v>576</v>
      </c>
      <c r="F871" s="20"/>
      <c r="G871" s="26">
        <f>G872</f>
        <v>348.6</v>
      </c>
      <c r="H871" s="177"/>
    </row>
    <row r="872" spans="1:8" ht="31.5" x14ac:dyDescent="0.25">
      <c r="A872" s="25" t="s">
        <v>147</v>
      </c>
      <c r="B872" s="16">
        <v>908</v>
      </c>
      <c r="C872" s="20" t="s">
        <v>250</v>
      </c>
      <c r="D872" s="20" t="s">
        <v>231</v>
      </c>
      <c r="E872" s="20" t="s">
        <v>576</v>
      </c>
      <c r="F872" s="20" t="s">
        <v>148</v>
      </c>
      <c r="G872" s="26">
        <f>G873</f>
        <v>348.6</v>
      </c>
      <c r="H872" s="177"/>
    </row>
    <row r="873" spans="1:8" ht="47.25" x14ac:dyDescent="0.25">
      <c r="A873" s="25" t="s">
        <v>149</v>
      </c>
      <c r="B873" s="16">
        <v>908</v>
      </c>
      <c r="C873" s="20" t="s">
        <v>250</v>
      </c>
      <c r="D873" s="20" t="s">
        <v>231</v>
      </c>
      <c r="E873" s="20" t="s">
        <v>576</v>
      </c>
      <c r="F873" s="20" t="s">
        <v>150</v>
      </c>
      <c r="G873" s="26">
        <v>348.6</v>
      </c>
      <c r="H873" s="177"/>
    </row>
    <row r="874" spans="1:8" ht="63" x14ac:dyDescent="0.25">
      <c r="A874" s="25" t="s">
        <v>732</v>
      </c>
      <c r="B874" s="16">
        <v>908</v>
      </c>
      <c r="C874" s="20" t="s">
        <v>250</v>
      </c>
      <c r="D874" s="20" t="s">
        <v>231</v>
      </c>
      <c r="E874" s="20" t="s">
        <v>734</v>
      </c>
      <c r="F874" s="20"/>
      <c r="G874" s="26">
        <f>G875</f>
        <v>600</v>
      </c>
      <c r="H874" s="177"/>
    </row>
    <row r="875" spans="1:8" ht="31.5" x14ac:dyDescent="0.25">
      <c r="A875" s="80" t="s">
        <v>733</v>
      </c>
      <c r="B875" s="16">
        <v>908</v>
      </c>
      <c r="C875" s="20" t="s">
        <v>250</v>
      </c>
      <c r="D875" s="20" t="s">
        <v>231</v>
      </c>
      <c r="E875" s="20" t="s">
        <v>735</v>
      </c>
      <c r="F875" s="20"/>
      <c r="G875" s="26">
        <f>G876</f>
        <v>600</v>
      </c>
      <c r="H875" s="177"/>
    </row>
    <row r="876" spans="1:8" ht="31.5" x14ac:dyDescent="0.25">
      <c r="A876" s="25" t="s">
        <v>147</v>
      </c>
      <c r="B876" s="16">
        <v>908</v>
      </c>
      <c r="C876" s="20" t="s">
        <v>250</v>
      </c>
      <c r="D876" s="20" t="s">
        <v>231</v>
      </c>
      <c r="E876" s="20" t="s">
        <v>735</v>
      </c>
      <c r="F876" s="20" t="s">
        <v>148</v>
      </c>
      <c r="G876" s="26">
        <f>G877</f>
        <v>600</v>
      </c>
      <c r="H876" s="177"/>
    </row>
    <row r="877" spans="1:8" ht="47.25" x14ac:dyDescent="0.25">
      <c r="A877" s="25" t="s">
        <v>149</v>
      </c>
      <c r="B877" s="16">
        <v>908</v>
      </c>
      <c r="C877" s="20" t="s">
        <v>250</v>
      </c>
      <c r="D877" s="20" t="s">
        <v>231</v>
      </c>
      <c r="E877" s="20" t="s">
        <v>735</v>
      </c>
      <c r="F877" s="20" t="s">
        <v>150</v>
      </c>
      <c r="G877" s="26">
        <v>600</v>
      </c>
      <c r="H877" s="106"/>
    </row>
    <row r="878" spans="1:8" ht="15.75" x14ac:dyDescent="0.25">
      <c r="A878" s="25" t="s">
        <v>137</v>
      </c>
      <c r="B878" s="16">
        <v>908</v>
      </c>
      <c r="C878" s="20" t="s">
        <v>250</v>
      </c>
      <c r="D878" s="20" t="s">
        <v>231</v>
      </c>
      <c r="E878" s="20" t="s">
        <v>138</v>
      </c>
      <c r="F878" s="20"/>
      <c r="G878" s="26">
        <f>G879+G892</f>
        <v>12489.099999999999</v>
      </c>
      <c r="H878" s="177"/>
    </row>
    <row r="879" spans="1:8" ht="31.5" x14ac:dyDescent="0.25">
      <c r="A879" s="25" t="s">
        <v>201</v>
      </c>
      <c r="B879" s="16">
        <v>908</v>
      </c>
      <c r="C879" s="20" t="s">
        <v>250</v>
      </c>
      <c r="D879" s="20" t="s">
        <v>231</v>
      </c>
      <c r="E879" s="20" t="s">
        <v>202</v>
      </c>
      <c r="F879" s="20"/>
      <c r="G879" s="26">
        <f>G880+G883+G886+G889</f>
        <v>12033.199999999999</v>
      </c>
      <c r="H879" s="177"/>
    </row>
    <row r="880" spans="1:8" ht="31.5" x14ac:dyDescent="0.25">
      <c r="A880" s="25" t="s">
        <v>577</v>
      </c>
      <c r="B880" s="16">
        <v>908</v>
      </c>
      <c r="C880" s="20" t="s">
        <v>250</v>
      </c>
      <c r="D880" s="20" t="s">
        <v>231</v>
      </c>
      <c r="E880" s="20" t="s">
        <v>578</v>
      </c>
      <c r="F880" s="20"/>
      <c r="G880" s="26">
        <f>G881</f>
        <v>6302.4</v>
      </c>
      <c r="H880" s="177"/>
    </row>
    <row r="881" spans="1:9" ht="31.5" x14ac:dyDescent="0.25">
      <c r="A881" s="25" t="s">
        <v>147</v>
      </c>
      <c r="B881" s="16">
        <v>908</v>
      </c>
      <c r="C881" s="20" t="s">
        <v>250</v>
      </c>
      <c r="D881" s="20" t="s">
        <v>231</v>
      </c>
      <c r="E881" s="20" t="s">
        <v>578</v>
      </c>
      <c r="F881" s="20" t="s">
        <v>148</v>
      </c>
      <c r="G881" s="26">
        <f>G882</f>
        <v>6302.4</v>
      </c>
      <c r="H881" s="177"/>
    </row>
    <row r="882" spans="1:9" ht="47.25" x14ac:dyDescent="0.25">
      <c r="A882" s="25" t="s">
        <v>149</v>
      </c>
      <c r="B882" s="16">
        <v>908</v>
      </c>
      <c r="C882" s="20" t="s">
        <v>250</v>
      </c>
      <c r="D882" s="20" t="s">
        <v>231</v>
      </c>
      <c r="E882" s="20" t="s">
        <v>578</v>
      </c>
      <c r="F882" s="20" t="s">
        <v>150</v>
      </c>
      <c r="G882" s="26">
        <f>3907.3-814.9+3210</f>
        <v>6302.4</v>
      </c>
      <c r="H882" s="106"/>
      <c r="I882" s="115"/>
    </row>
    <row r="883" spans="1:9" ht="47.25" x14ac:dyDescent="0.25">
      <c r="A883" s="25" t="s">
        <v>707</v>
      </c>
      <c r="B883" s="16">
        <v>908</v>
      </c>
      <c r="C883" s="20" t="s">
        <v>250</v>
      </c>
      <c r="D883" s="20" t="s">
        <v>231</v>
      </c>
      <c r="E883" s="20" t="s">
        <v>708</v>
      </c>
      <c r="F883" s="20"/>
      <c r="G883" s="26">
        <f>G884</f>
        <v>2132</v>
      </c>
      <c r="H883" s="177"/>
    </row>
    <row r="884" spans="1:9" ht="31.5" x14ac:dyDescent="0.25">
      <c r="A884" s="25" t="s">
        <v>147</v>
      </c>
      <c r="B884" s="16">
        <v>908</v>
      </c>
      <c r="C884" s="20" t="s">
        <v>250</v>
      </c>
      <c r="D884" s="20" t="s">
        <v>231</v>
      </c>
      <c r="E884" s="20" t="s">
        <v>708</v>
      </c>
      <c r="F884" s="20" t="s">
        <v>148</v>
      </c>
      <c r="G884" s="26">
        <f>G885</f>
        <v>2132</v>
      </c>
      <c r="H884" s="177"/>
    </row>
    <row r="885" spans="1:9" ht="47.25" x14ac:dyDescent="0.25">
      <c r="A885" s="25" t="s">
        <v>149</v>
      </c>
      <c r="B885" s="16">
        <v>908</v>
      </c>
      <c r="C885" s="20" t="s">
        <v>250</v>
      </c>
      <c r="D885" s="20" t="s">
        <v>231</v>
      </c>
      <c r="E885" s="20" t="s">
        <v>708</v>
      </c>
      <c r="F885" s="20" t="s">
        <v>150</v>
      </c>
      <c r="G885" s="26">
        <v>2132</v>
      </c>
      <c r="H885" s="106"/>
    </row>
    <row r="886" spans="1:9" ht="47.25" x14ac:dyDescent="0.25">
      <c r="A886" s="25" t="s">
        <v>709</v>
      </c>
      <c r="B886" s="16">
        <v>908</v>
      </c>
      <c r="C886" s="20" t="s">
        <v>250</v>
      </c>
      <c r="D886" s="20" t="s">
        <v>231</v>
      </c>
      <c r="E886" s="20" t="s">
        <v>579</v>
      </c>
      <c r="F886" s="20"/>
      <c r="G886" s="26">
        <f>G887</f>
        <v>2000</v>
      </c>
      <c r="H886" s="177"/>
    </row>
    <row r="887" spans="1:9" ht="31.5" x14ac:dyDescent="0.25">
      <c r="A887" s="25" t="s">
        <v>147</v>
      </c>
      <c r="B887" s="16">
        <v>908</v>
      </c>
      <c r="C887" s="20" t="s">
        <v>250</v>
      </c>
      <c r="D887" s="20" t="s">
        <v>231</v>
      </c>
      <c r="E887" s="20" t="s">
        <v>579</v>
      </c>
      <c r="F887" s="20" t="s">
        <v>148</v>
      </c>
      <c r="G887" s="26">
        <f>G888</f>
        <v>2000</v>
      </c>
      <c r="H887" s="177"/>
    </row>
    <row r="888" spans="1:9" ht="47.25" x14ac:dyDescent="0.25">
      <c r="A888" s="25" t="s">
        <v>149</v>
      </c>
      <c r="B888" s="16">
        <v>908</v>
      </c>
      <c r="C888" s="20" t="s">
        <v>250</v>
      </c>
      <c r="D888" s="20" t="s">
        <v>231</v>
      </c>
      <c r="E888" s="20" t="s">
        <v>579</v>
      </c>
      <c r="F888" s="20" t="s">
        <v>150</v>
      </c>
      <c r="G888" s="26">
        <v>2000</v>
      </c>
      <c r="H888" s="106"/>
    </row>
    <row r="889" spans="1:9" ht="63" x14ac:dyDescent="0.25">
      <c r="A889" s="25" t="s">
        <v>710</v>
      </c>
      <c r="B889" s="16">
        <v>908</v>
      </c>
      <c r="C889" s="20" t="s">
        <v>250</v>
      </c>
      <c r="D889" s="20" t="s">
        <v>231</v>
      </c>
      <c r="E889" s="20" t="s">
        <v>711</v>
      </c>
      <c r="F889" s="20"/>
      <c r="G889" s="26">
        <f>G890</f>
        <v>1598.8</v>
      </c>
      <c r="H889" s="108"/>
    </row>
    <row r="890" spans="1:9" ht="31.5" x14ac:dyDescent="0.25">
      <c r="A890" s="25" t="s">
        <v>147</v>
      </c>
      <c r="B890" s="16">
        <v>908</v>
      </c>
      <c r="C890" s="20" t="s">
        <v>250</v>
      </c>
      <c r="D890" s="20" t="s">
        <v>231</v>
      </c>
      <c r="E890" s="20" t="s">
        <v>711</v>
      </c>
      <c r="F890" s="20" t="s">
        <v>148</v>
      </c>
      <c r="G890" s="26">
        <f>G891</f>
        <v>1598.8</v>
      </c>
      <c r="H890" s="108"/>
    </row>
    <row r="891" spans="1:9" ht="47.25" x14ac:dyDescent="0.25">
      <c r="A891" s="25" t="s">
        <v>149</v>
      </c>
      <c r="B891" s="16">
        <v>908</v>
      </c>
      <c r="C891" s="20" t="s">
        <v>250</v>
      </c>
      <c r="D891" s="20" t="s">
        <v>231</v>
      </c>
      <c r="E891" s="20" t="s">
        <v>711</v>
      </c>
      <c r="F891" s="20" t="s">
        <v>150</v>
      </c>
      <c r="G891" s="26">
        <v>1598.8</v>
      </c>
      <c r="H891" s="108"/>
    </row>
    <row r="892" spans="1:9" ht="15.75" x14ac:dyDescent="0.25">
      <c r="A892" s="25" t="s">
        <v>157</v>
      </c>
      <c r="B892" s="16">
        <v>908</v>
      </c>
      <c r="C892" s="20" t="s">
        <v>250</v>
      </c>
      <c r="D892" s="20" t="s">
        <v>231</v>
      </c>
      <c r="E892" s="20" t="s">
        <v>158</v>
      </c>
      <c r="F892" s="20"/>
      <c r="G892" s="26">
        <f>G893</f>
        <v>455.9</v>
      </c>
      <c r="H892" s="177"/>
    </row>
    <row r="893" spans="1:9" ht="15.75" x14ac:dyDescent="0.25">
      <c r="A893" s="25" t="s">
        <v>580</v>
      </c>
      <c r="B893" s="16">
        <v>908</v>
      </c>
      <c r="C893" s="20" t="s">
        <v>250</v>
      </c>
      <c r="D893" s="20" t="s">
        <v>231</v>
      </c>
      <c r="E893" s="20" t="s">
        <v>581</v>
      </c>
      <c r="F893" s="20"/>
      <c r="G893" s="26">
        <f>G894</f>
        <v>455.9</v>
      </c>
      <c r="H893" s="177"/>
    </row>
    <row r="894" spans="1:9" ht="31.5" x14ac:dyDescent="0.25">
      <c r="A894" s="25" t="s">
        <v>147</v>
      </c>
      <c r="B894" s="16">
        <v>908</v>
      </c>
      <c r="C894" s="20" t="s">
        <v>250</v>
      </c>
      <c r="D894" s="20" t="s">
        <v>231</v>
      </c>
      <c r="E894" s="20" t="s">
        <v>581</v>
      </c>
      <c r="F894" s="20" t="s">
        <v>148</v>
      </c>
      <c r="G894" s="26">
        <f>G895</f>
        <v>455.9</v>
      </c>
      <c r="H894" s="177"/>
    </row>
    <row r="895" spans="1:9" ht="47.25" x14ac:dyDescent="0.25">
      <c r="A895" s="25" t="s">
        <v>149</v>
      </c>
      <c r="B895" s="16">
        <v>908</v>
      </c>
      <c r="C895" s="20" t="s">
        <v>250</v>
      </c>
      <c r="D895" s="20" t="s">
        <v>231</v>
      </c>
      <c r="E895" s="20" t="s">
        <v>581</v>
      </c>
      <c r="F895" s="20" t="s">
        <v>150</v>
      </c>
      <c r="G895" s="27">
        <v>455.9</v>
      </c>
      <c r="H895" s="177"/>
    </row>
    <row r="896" spans="1:9" ht="15.75" hidden="1" x14ac:dyDescent="0.25">
      <c r="A896" s="25" t="s">
        <v>582</v>
      </c>
      <c r="B896" s="16">
        <v>908</v>
      </c>
      <c r="C896" s="20" t="s">
        <v>250</v>
      </c>
      <c r="D896" s="20" t="s">
        <v>231</v>
      </c>
      <c r="E896" s="20" t="s">
        <v>583</v>
      </c>
      <c r="F896" s="20"/>
      <c r="G896" s="27">
        <f>G897</f>
        <v>0</v>
      </c>
      <c r="H896" s="177"/>
    </row>
    <row r="897" spans="1:10" ht="15.75" hidden="1" x14ac:dyDescent="0.25">
      <c r="A897" s="25" t="s">
        <v>151</v>
      </c>
      <c r="B897" s="16">
        <v>908</v>
      </c>
      <c r="C897" s="20" t="s">
        <v>250</v>
      </c>
      <c r="D897" s="20" t="s">
        <v>231</v>
      </c>
      <c r="E897" s="20" t="s">
        <v>583</v>
      </c>
      <c r="F897" s="20" t="s">
        <v>161</v>
      </c>
      <c r="G897" s="27">
        <f>G898</f>
        <v>0</v>
      </c>
      <c r="H897" s="177"/>
    </row>
    <row r="898" spans="1:10" ht="15.75" hidden="1" x14ac:dyDescent="0.25">
      <c r="A898" s="25" t="s">
        <v>584</v>
      </c>
      <c r="B898" s="16">
        <v>908</v>
      </c>
      <c r="C898" s="20" t="s">
        <v>250</v>
      </c>
      <c r="D898" s="20" t="s">
        <v>231</v>
      </c>
      <c r="E898" s="20" t="s">
        <v>583</v>
      </c>
      <c r="F898" s="20" t="s">
        <v>154</v>
      </c>
      <c r="G898" s="27">
        <v>0</v>
      </c>
      <c r="H898" s="177"/>
    </row>
    <row r="899" spans="1:10" ht="31.5" x14ac:dyDescent="0.25">
      <c r="A899" s="23" t="s">
        <v>585</v>
      </c>
      <c r="B899" s="19">
        <v>908</v>
      </c>
      <c r="C899" s="24" t="s">
        <v>250</v>
      </c>
      <c r="D899" s="24" t="s">
        <v>250</v>
      </c>
      <c r="E899" s="24"/>
      <c r="F899" s="24"/>
      <c r="G899" s="21">
        <f>G900</f>
        <v>21124.69</v>
      </c>
      <c r="H899" s="177"/>
    </row>
    <row r="900" spans="1:10" ht="15.75" x14ac:dyDescent="0.25">
      <c r="A900" s="25" t="s">
        <v>137</v>
      </c>
      <c r="B900" s="16">
        <v>908</v>
      </c>
      <c r="C900" s="20" t="s">
        <v>250</v>
      </c>
      <c r="D900" s="20" t="s">
        <v>250</v>
      </c>
      <c r="E900" s="20" t="s">
        <v>138</v>
      </c>
      <c r="F900" s="20"/>
      <c r="G900" s="26">
        <f>G901+G909</f>
        <v>21124.69</v>
      </c>
      <c r="H900" s="177"/>
    </row>
    <row r="901" spans="1:10" ht="31.5" x14ac:dyDescent="0.25">
      <c r="A901" s="25" t="s">
        <v>139</v>
      </c>
      <c r="B901" s="16">
        <v>908</v>
      </c>
      <c r="C901" s="20" t="s">
        <v>250</v>
      </c>
      <c r="D901" s="20" t="s">
        <v>250</v>
      </c>
      <c r="E901" s="20" t="s">
        <v>140</v>
      </c>
      <c r="F901" s="20"/>
      <c r="G901" s="26">
        <f>G902</f>
        <v>13501.699999999999</v>
      </c>
      <c r="H901" s="177"/>
    </row>
    <row r="902" spans="1:10" ht="47.25" x14ac:dyDescent="0.25">
      <c r="A902" s="25" t="s">
        <v>141</v>
      </c>
      <c r="B902" s="16">
        <v>908</v>
      </c>
      <c r="C902" s="20" t="s">
        <v>250</v>
      </c>
      <c r="D902" s="20" t="s">
        <v>250</v>
      </c>
      <c r="E902" s="20" t="s">
        <v>142</v>
      </c>
      <c r="F902" s="20"/>
      <c r="G902" s="26">
        <f>G903+G907+G905</f>
        <v>13501.699999999999</v>
      </c>
      <c r="H902" s="177"/>
    </row>
    <row r="903" spans="1:10" ht="94.5" x14ac:dyDescent="0.25">
      <c r="A903" s="25" t="s">
        <v>143</v>
      </c>
      <c r="B903" s="16">
        <v>908</v>
      </c>
      <c r="C903" s="20" t="s">
        <v>250</v>
      </c>
      <c r="D903" s="20" t="s">
        <v>250</v>
      </c>
      <c r="E903" s="20" t="s">
        <v>142</v>
      </c>
      <c r="F903" s="20" t="s">
        <v>144</v>
      </c>
      <c r="G903" s="26">
        <f>G904</f>
        <v>13327.8</v>
      </c>
      <c r="H903" s="177"/>
    </row>
    <row r="904" spans="1:10" ht="31.5" x14ac:dyDescent="0.25">
      <c r="A904" s="25" t="s">
        <v>145</v>
      </c>
      <c r="B904" s="16">
        <v>908</v>
      </c>
      <c r="C904" s="20" t="s">
        <v>250</v>
      </c>
      <c r="D904" s="20" t="s">
        <v>250</v>
      </c>
      <c r="E904" s="20" t="s">
        <v>142</v>
      </c>
      <c r="F904" s="20" t="s">
        <v>146</v>
      </c>
      <c r="G904" s="166">
        <f>13259.3+28.4+100-59.9</f>
        <v>13327.8</v>
      </c>
      <c r="H904" s="106" t="s">
        <v>770</v>
      </c>
      <c r="I904" s="124"/>
      <c r="J904" s="171" t="s">
        <v>777</v>
      </c>
    </row>
    <row r="905" spans="1:10" ht="31.5" x14ac:dyDescent="0.25">
      <c r="A905" s="25" t="s">
        <v>147</v>
      </c>
      <c r="B905" s="16">
        <v>908</v>
      </c>
      <c r="C905" s="20" t="s">
        <v>250</v>
      </c>
      <c r="D905" s="20" t="s">
        <v>250</v>
      </c>
      <c r="E905" s="20" t="s">
        <v>142</v>
      </c>
      <c r="F905" s="20" t="s">
        <v>148</v>
      </c>
      <c r="G905" s="26">
        <f>G906</f>
        <v>25</v>
      </c>
      <c r="H905" s="177"/>
    </row>
    <row r="906" spans="1:10" ht="47.25" x14ac:dyDescent="0.25">
      <c r="A906" s="25" t="s">
        <v>149</v>
      </c>
      <c r="B906" s="16">
        <v>908</v>
      </c>
      <c r="C906" s="20" t="s">
        <v>250</v>
      </c>
      <c r="D906" s="20" t="s">
        <v>250</v>
      </c>
      <c r="E906" s="20" t="s">
        <v>142</v>
      </c>
      <c r="F906" s="20" t="s">
        <v>150</v>
      </c>
      <c r="G906" s="27">
        <v>25</v>
      </c>
      <c r="H906" s="106"/>
      <c r="I906" s="124"/>
    </row>
    <row r="907" spans="1:10" ht="15.75" x14ac:dyDescent="0.25">
      <c r="A907" s="25" t="s">
        <v>151</v>
      </c>
      <c r="B907" s="16">
        <v>908</v>
      </c>
      <c r="C907" s="20" t="s">
        <v>250</v>
      </c>
      <c r="D907" s="20" t="s">
        <v>250</v>
      </c>
      <c r="E907" s="20" t="s">
        <v>142</v>
      </c>
      <c r="F907" s="20" t="s">
        <v>161</v>
      </c>
      <c r="G907" s="26">
        <f>G908</f>
        <v>148.9</v>
      </c>
      <c r="H907" s="177"/>
    </row>
    <row r="908" spans="1:10" ht="15.75" x14ac:dyDescent="0.25">
      <c r="A908" s="25" t="s">
        <v>584</v>
      </c>
      <c r="B908" s="16">
        <v>908</v>
      </c>
      <c r="C908" s="20" t="s">
        <v>250</v>
      </c>
      <c r="D908" s="20" t="s">
        <v>250</v>
      </c>
      <c r="E908" s="20" t="s">
        <v>142</v>
      </c>
      <c r="F908" s="20" t="s">
        <v>154</v>
      </c>
      <c r="G908" s="162">
        <f>89+59.9</f>
        <v>148.9</v>
      </c>
      <c r="H908" s="157" t="s">
        <v>769</v>
      </c>
    </row>
    <row r="909" spans="1:10" ht="15.75" x14ac:dyDescent="0.25">
      <c r="A909" s="25" t="s">
        <v>157</v>
      </c>
      <c r="B909" s="16">
        <v>908</v>
      </c>
      <c r="C909" s="20" t="s">
        <v>250</v>
      </c>
      <c r="D909" s="20" t="s">
        <v>250</v>
      </c>
      <c r="E909" s="20" t="s">
        <v>158</v>
      </c>
      <c r="F909" s="20"/>
      <c r="G909" s="26">
        <f>G913+G910</f>
        <v>7622.99</v>
      </c>
      <c r="H909" s="177"/>
    </row>
    <row r="910" spans="1:10" ht="31.5" x14ac:dyDescent="0.25">
      <c r="A910" s="25" t="s">
        <v>586</v>
      </c>
      <c r="B910" s="16">
        <v>908</v>
      </c>
      <c r="C910" s="20" t="s">
        <v>250</v>
      </c>
      <c r="D910" s="20" t="s">
        <v>250</v>
      </c>
      <c r="E910" s="20" t="s">
        <v>587</v>
      </c>
      <c r="F910" s="20"/>
      <c r="G910" s="27">
        <f>G911</f>
        <v>1461</v>
      </c>
      <c r="H910" s="177"/>
    </row>
    <row r="911" spans="1:10" ht="15.75" x14ac:dyDescent="0.25">
      <c r="A911" s="25" t="s">
        <v>151</v>
      </c>
      <c r="B911" s="16">
        <v>908</v>
      </c>
      <c r="C911" s="20" t="s">
        <v>250</v>
      </c>
      <c r="D911" s="20" t="s">
        <v>250</v>
      </c>
      <c r="E911" s="20" t="s">
        <v>587</v>
      </c>
      <c r="F911" s="20" t="s">
        <v>161</v>
      </c>
      <c r="G911" s="27">
        <f>G912</f>
        <v>1461</v>
      </c>
      <c r="H911" s="177"/>
    </row>
    <row r="912" spans="1:10" ht="63" x14ac:dyDescent="0.25">
      <c r="A912" s="25" t="s">
        <v>200</v>
      </c>
      <c r="B912" s="16">
        <v>908</v>
      </c>
      <c r="C912" s="20" t="s">
        <v>250</v>
      </c>
      <c r="D912" s="20" t="s">
        <v>250</v>
      </c>
      <c r="E912" s="20" t="s">
        <v>587</v>
      </c>
      <c r="F912" s="20" t="s">
        <v>176</v>
      </c>
      <c r="G912" s="27">
        <v>1461</v>
      </c>
      <c r="H912" s="177"/>
    </row>
    <row r="913" spans="1:10" ht="31.5" x14ac:dyDescent="0.25">
      <c r="A913" s="25" t="s">
        <v>356</v>
      </c>
      <c r="B913" s="16">
        <v>908</v>
      </c>
      <c r="C913" s="20" t="s">
        <v>250</v>
      </c>
      <c r="D913" s="20" t="s">
        <v>250</v>
      </c>
      <c r="E913" s="20" t="s">
        <v>357</v>
      </c>
      <c r="F913" s="20"/>
      <c r="G913" s="26">
        <f>G914+G916</f>
        <v>6161.99</v>
      </c>
      <c r="H913" s="177"/>
    </row>
    <row r="914" spans="1:10" ht="94.5" x14ac:dyDescent="0.25">
      <c r="A914" s="25" t="s">
        <v>143</v>
      </c>
      <c r="B914" s="16">
        <v>908</v>
      </c>
      <c r="C914" s="20" t="s">
        <v>250</v>
      </c>
      <c r="D914" s="20" t="s">
        <v>250</v>
      </c>
      <c r="E914" s="20" t="s">
        <v>357</v>
      </c>
      <c r="F914" s="20" t="s">
        <v>144</v>
      </c>
      <c r="G914" s="26">
        <f>G915</f>
        <v>4505.49</v>
      </c>
      <c r="H914" s="177"/>
    </row>
    <row r="915" spans="1:10" ht="31.5" x14ac:dyDescent="0.25">
      <c r="A915" s="25" t="s">
        <v>358</v>
      </c>
      <c r="B915" s="16">
        <v>908</v>
      </c>
      <c r="C915" s="20" t="s">
        <v>250</v>
      </c>
      <c r="D915" s="20" t="s">
        <v>250</v>
      </c>
      <c r="E915" s="20" t="s">
        <v>357</v>
      </c>
      <c r="F915" s="20" t="s">
        <v>225</v>
      </c>
      <c r="G915" s="156">
        <f>6196.89-1411.4-100-180</f>
        <v>4505.49</v>
      </c>
      <c r="H915" s="106" t="s">
        <v>783</v>
      </c>
      <c r="I915" s="124"/>
      <c r="J915" s="170" t="s">
        <v>782</v>
      </c>
    </row>
    <row r="916" spans="1:10" ht="31.5" x14ac:dyDescent="0.25">
      <c r="A916" s="25" t="s">
        <v>147</v>
      </c>
      <c r="B916" s="16">
        <v>908</v>
      </c>
      <c r="C916" s="20" t="s">
        <v>250</v>
      </c>
      <c r="D916" s="20" t="s">
        <v>250</v>
      </c>
      <c r="E916" s="20" t="s">
        <v>357</v>
      </c>
      <c r="F916" s="20" t="s">
        <v>148</v>
      </c>
      <c r="G916" s="26">
        <f>G917</f>
        <v>1656.5</v>
      </c>
      <c r="H916" s="177"/>
    </row>
    <row r="917" spans="1:10" ht="47.25" x14ac:dyDescent="0.25">
      <c r="A917" s="25" t="s">
        <v>149</v>
      </c>
      <c r="B917" s="16">
        <v>908</v>
      </c>
      <c r="C917" s="20" t="s">
        <v>250</v>
      </c>
      <c r="D917" s="20" t="s">
        <v>250</v>
      </c>
      <c r="E917" s="20" t="s">
        <v>357</v>
      </c>
      <c r="F917" s="20" t="s">
        <v>150</v>
      </c>
      <c r="G917" s="156">
        <f>1341.9+928.5-198.8-595.1+180</f>
        <v>1656.5</v>
      </c>
      <c r="H917" s="106" t="s">
        <v>784</v>
      </c>
      <c r="I917" s="125"/>
      <c r="J917" s="170"/>
    </row>
    <row r="918" spans="1:10" ht="15.75" x14ac:dyDescent="0.25">
      <c r="A918" s="23" t="s">
        <v>259</v>
      </c>
      <c r="B918" s="19">
        <v>908</v>
      </c>
      <c r="C918" s="24" t="s">
        <v>260</v>
      </c>
      <c r="D918" s="24"/>
      <c r="E918" s="24"/>
      <c r="F918" s="24"/>
      <c r="G918" s="21">
        <f t="shared" ref="G918:G923" si="5">G919</f>
        <v>87.1</v>
      </c>
      <c r="H918" s="177"/>
    </row>
    <row r="919" spans="1:10" ht="31.5" x14ac:dyDescent="0.25">
      <c r="A919" s="23" t="s">
        <v>274</v>
      </c>
      <c r="B919" s="19">
        <v>908</v>
      </c>
      <c r="C919" s="24" t="s">
        <v>260</v>
      </c>
      <c r="D919" s="24" t="s">
        <v>136</v>
      </c>
      <c r="E919" s="24"/>
      <c r="F919" s="24"/>
      <c r="G919" s="21">
        <f t="shared" si="5"/>
        <v>87.1</v>
      </c>
      <c r="H919" s="177"/>
    </row>
    <row r="920" spans="1:10" ht="15.75" x14ac:dyDescent="0.25">
      <c r="A920" s="25" t="s">
        <v>137</v>
      </c>
      <c r="B920" s="16">
        <v>908</v>
      </c>
      <c r="C920" s="20" t="s">
        <v>260</v>
      </c>
      <c r="D920" s="20" t="s">
        <v>136</v>
      </c>
      <c r="E920" s="20" t="s">
        <v>138</v>
      </c>
      <c r="F920" s="20"/>
      <c r="G920" s="21">
        <f t="shared" si="5"/>
        <v>87.1</v>
      </c>
      <c r="H920" s="177"/>
    </row>
    <row r="921" spans="1:10" ht="15.75" x14ac:dyDescent="0.25">
      <c r="A921" s="25" t="s">
        <v>157</v>
      </c>
      <c r="B921" s="16">
        <v>908</v>
      </c>
      <c r="C921" s="20" t="s">
        <v>260</v>
      </c>
      <c r="D921" s="20" t="s">
        <v>136</v>
      </c>
      <c r="E921" s="20" t="s">
        <v>158</v>
      </c>
      <c r="F921" s="20"/>
      <c r="G921" s="26">
        <f t="shared" si="5"/>
        <v>87.1</v>
      </c>
      <c r="H921" s="177"/>
    </row>
    <row r="922" spans="1:10" ht="15.75" x14ac:dyDescent="0.25">
      <c r="A922" s="25" t="s">
        <v>588</v>
      </c>
      <c r="B922" s="16">
        <v>908</v>
      </c>
      <c r="C922" s="20" t="s">
        <v>260</v>
      </c>
      <c r="D922" s="20" t="s">
        <v>136</v>
      </c>
      <c r="E922" s="20" t="s">
        <v>589</v>
      </c>
      <c r="F922" s="20"/>
      <c r="G922" s="26">
        <f t="shared" si="5"/>
        <v>87.1</v>
      </c>
      <c r="H922" s="177"/>
    </row>
    <row r="923" spans="1:10" ht="15.75" x14ac:dyDescent="0.25">
      <c r="A923" s="25" t="s">
        <v>151</v>
      </c>
      <c r="B923" s="16">
        <v>908</v>
      </c>
      <c r="C923" s="20" t="s">
        <v>260</v>
      </c>
      <c r="D923" s="20" t="s">
        <v>136</v>
      </c>
      <c r="E923" s="20" t="s">
        <v>589</v>
      </c>
      <c r="F923" s="20" t="s">
        <v>161</v>
      </c>
      <c r="G923" s="26">
        <f t="shared" si="5"/>
        <v>87.1</v>
      </c>
      <c r="H923" s="177"/>
    </row>
    <row r="924" spans="1:10" ht="63" x14ac:dyDescent="0.25">
      <c r="A924" s="25" t="s">
        <v>200</v>
      </c>
      <c r="B924" s="16">
        <v>908</v>
      </c>
      <c r="C924" s="20" t="s">
        <v>260</v>
      </c>
      <c r="D924" s="20" t="s">
        <v>136</v>
      </c>
      <c r="E924" s="20" t="s">
        <v>589</v>
      </c>
      <c r="F924" s="20" t="s">
        <v>176</v>
      </c>
      <c r="G924" s="26">
        <v>87.1</v>
      </c>
      <c r="H924" s="177"/>
    </row>
    <row r="925" spans="1:10" ht="31.5" x14ac:dyDescent="0.25">
      <c r="A925" s="19" t="s">
        <v>590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7"/>
    </row>
    <row r="926" spans="1:10" ht="15.75" x14ac:dyDescent="0.25">
      <c r="A926" s="23" t="s">
        <v>133</v>
      </c>
      <c r="B926" s="19">
        <v>910</v>
      </c>
      <c r="C926" s="24" t="s">
        <v>134</v>
      </c>
      <c r="D926" s="24"/>
      <c r="E926" s="24"/>
      <c r="F926" s="24"/>
      <c r="G926" s="21">
        <f>G927+G935+G945+G953</f>
        <v>7042.5</v>
      </c>
      <c r="H926" s="177"/>
    </row>
    <row r="927" spans="1:10" ht="47.25" x14ac:dyDescent="0.25">
      <c r="A927" s="23" t="s">
        <v>591</v>
      </c>
      <c r="B927" s="19">
        <v>910</v>
      </c>
      <c r="C927" s="24" t="s">
        <v>134</v>
      </c>
      <c r="D927" s="24" t="s">
        <v>229</v>
      </c>
      <c r="E927" s="24"/>
      <c r="F927" s="24"/>
      <c r="G927" s="21">
        <f>G928</f>
        <v>4188.8</v>
      </c>
      <c r="H927" s="177"/>
    </row>
    <row r="928" spans="1:10" ht="15.75" x14ac:dyDescent="0.25">
      <c r="A928" s="25" t="s">
        <v>137</v>
      </c>
      <c r="B928" s="16">
        <v>910</v>
      </c>
      <c r="C928" s="20" t="s">
        <v>134</v>
      </c>
      <c r="D928" s="20" t="s">
        <v>229</v>
      </c>
      <c r="E928" s="20" t="s">
        <v>138</v>
      </c>
      <c r="F928" s="20"/>
      <c r="G928" s="26">
        <f>G929</f>
        <v>4188.8</v>
      </c>
      <c r="H928" s="177"/>
    </row>
    <row r="929" spans="1:10" ht="31.5" x14ac:dyDescent="0.25">
      <c r="A929" s="25" t="s">
        <v>139</v>
      </c>
      <c r="B929" s="16">
        <v>910</v>
      </c>
      <c r="C929" s="20" t="s">
        <v>134</v>
      </c>
      <c r="D929" s="20" t="s">
        <v>229</v>
      </c>
      <c r="E929" s="20" t="s">
        <v>140</v>
      </c>
      <c r="F929" s="20"/>
      <c r="G929" s="26">
        <f>G930</f>
        <v>4188.8</v>
      </c>
      <c r="H929" s="177"/>
    </row>
    <row r="930" spans="1:10" ht="47.25" x14ac:dyDescent="0.25">
      <c r="A930" s="25" t="s">
        <v>592</v>
      </c>
      <c r="B930" s="16">
        <v>910</v>
      </c>
      <c r="C930" s="20" t="s">
        <v>134</v>
      </c>
      <c r="D930" s="20" t="s">
        <v>229</v>
      </c>
      <c r="E930" s="20" t="s">
        <v>593</v>
      </c>
      <c r="F930" s="20"/>
      <c r="G930" s="26">
        <f>G931+G933</f>
        <v>4188.8</v>
      </c>
      <c r="H930" s="177"/>
    </row>
    <row r="931" spans="1:10" ht="94.5" x14ac:dyDescent="0.25">
      <c r="A931" s="25" t="s">
        <v>143</v>
      </c>
      <c r="B931" s="16">
        <v>910</v>
      </c>
      <c r="C931" s="20" t="s">
        <v>134</v>
      </c>
      <c r="D931" s="20" t="s">
        <v>229</v>
      </c>
      <c r="E931" s="20" t="s">
        <v>593</v>
      </c>
      <c r="F931" s="20" t="s">
        <v>144</v>
      </c>
      <c r="G931" s="26">
        <f>G932+G933</f>
        <v>4188.8</v>
      </c>
      <c r="H931" s="177"/>
    </row>
    <row r="932" spans="1:10" ht="31.5" x14ac:dyDescent="0.25">
      <c r="A932" s="25" t="s">
        <v>145</v>
      </c>
      <c r="B932" s="16">
        <v>910</v>
      </c>
      <c r="C932" s="20" t="s">
        <v>134</v>
      </c>
      <c r="D932" s="20" t="s">
        <v>229</v>
      </c>
      <c r="E932" s="20" t="s">
        <v>593</v>
      </c>
      <c r="F932" s="20" t="s">
        <v>146</v>
      </c>
      <c r="G932" s="27">
        <v>4188.8</v>
      </c>
      <c r="H932" s="177"/>
      <c r="J932" s="170" t="s">
        <v>778</v>
      </c>
    </row>
    <row r="933" spans="1:10" ht="47.25" hidden="1" x14ac:dyDescent="0.25">
      <c r="A933" s="25" t="s">
        <v>214</v>
      </c>
      <c r="B933" s="16">
        <v>910</v>
      </c>
      <c r="C933" s="20" t="s">
        <v>134</v>
      </c>
      <c r="D933" s="20" t="s">
        <v>229</v>
      </c>
      <c r="E933" s="20" t="s">
        <v>593</v>
      </c>
      <c r="F933" s="20" t="s">
        <v>148</v>
      </c>
      <c r="G933" s="26">
        <f>G934</f>
        <v>0</v>
      </c>
      <c r="H933" s="177"/>
    </row>
    <row r="934" spans="1:10" ht="47.25" hidden="1" x14ac:dyDescent="0.25">
      <c r="A934" s="25" t="s">
        <v>149</v>
      </c>
      <c r="B934" s="16">
        <v>910</v>
      </c>
      <c r="C934" s="20" t="s">
        <v>134</v>
      </c>
      <c r="D934" s="20" t="s">
        <v>229</v>
      </c>
      <c r="E934" s="20" t="s">
        <v>593</v>
      </c>
      <c r="F934" s="20" t="s">
        <v>150</v>
      </c>
      <c r="G934" s="26"/>
      <c r="H934" s="177"/>
    </row>
    <row r="935" spans="1:10" ht="78.75" x14ac:dyDescent="0.25">
      <c r="A935" s="23" t="s">
        <v>594</v>
      </c>
      <c r="B935" s="19">
        <v>910</v>
      </c>
      <c r="C935" s="24" t="s">
        <v>134</v>
      </c>
      <c r="D935" s="24" t="s">
        <v>231</v>
      </c>
      <c r="E935" s="24"/>
      <c r="F935" s="24"/>
      <c r="G935" s="21">
        <f>G936</f>
        <v>1138.7</v>
      </c>
      <c r="H935" s="177"/>
    </row>
    <row r="936" spans="1:10" ht="15.75" x14ac:dyDescent="0.25">
      <c r="A936" s="25" t="s">
        <v>137</v>
      </c>
      <c r="B936" s="16">
        <v>910</v>
      </c>
      <c r="C936" s="20" t="s">
        <v>134</v>
      </c>
      <c r="D936" s="20" t="s">
        <v>231</v>
      </c>
      <c r="E936" s="20" t="s">
        <v>138</v>
      </c>
      <c r="F936" s="24"/>
      <c r="G936" s="26">
        <f>G937</f>
        <v>1138.7</v>
      </c>
      <c r="H936" s="177"/>
    </row>
    <row r="937" spans="1:10" ht="31.5" x14ac:dyDescent="0.25">
      <c r="A937" s="25" t="s">
        <v>139</v>
      </c>
      <c r="B937" s="16">
        <v>910</v>
      </c>
      <c r="C937" s="20" t="s">
        <v>134</v>
      </c>
      <c r="D937" s="20" t="s">
        <v>231</v>
      </c>
      <c r="E937" s="20" t="s">
        <v>140</v>
      </c>
      <c r="F937" s="24"/>
      <c r="G937" s="26">
        <f>G938</f>
        <v>1138.7</v>
      </c>
      <c r="H937" s="177"/>
    </row>
    <row r="938" spans="1:10" ht="47.25" x14ac:dyDescent="0.25">
      <c r="A938" s="25" t="s">
        <v>595</v>
      </c>
      <c r="B938" s="16">
        <v>910</v>
      </c>
      <c r="C938" s="20" t="s">
        <v>134</v>
      </c>
      <c r="D938" s="20" t="s">
        <v>231</v>
      </c>
      <c r="E938" s="20" t="s">
        <v>596</v>
      </c>
      <c r="F938" s="20"/>
      <c r="G938" s="26">
        <f>G939+G941+G943</f>
        <v>1138.7</v>
      </c>
      <c r="H938" s="177"/>
    </row>
    <row r="939" spans="1:10" ht="94.5" x14ac:dyDescent="0.25">
      <c r="A939" s="25" t="s">
        <v>143</v>
      </c>
      <c r="B939" s="16">
        <v>910</v>
      </c>
      <c r="C939" s="20" t="s">
        <v>134</v>
      </c>
      <c r="D939" s="20" t="s">
        <v>231</v>
      </c>
      <c r="E939" s="20" t="s">
        <v>596</v>
      </c>
      <c r="F939" s="20" t="s">
        <v>144</v>
      </c>
      <c r="G939" s="26">
        <f>G940</f>
        <v>1003.7</v>
      </c>
      <c r="H939" s="177"/>
    </row>
    <row r="940" spans="1:10" ht="31.5" x14ac:dyDescent="0.25">
      <c r="A940" s="25" t="s">
        <v>145</v>
      </c>
      <c r="B940" s="16">
        <v>910</v>
      </c>
      <c r="C940" s="20" t="s">
        <v>134</v>
      </c>
      <c r="D940" s="20" t="s">
        <v>231</v>
      </c>
      <c r="E940" s="20" t="s">
        <v>596</v>
      </c>
      <c r="F940" s="20" t="s">
        <v>146</v>
      </c>
      <c r="G940" s="26">
        <v>1003.7</v>
      </c>
      <c r="H940" s="177"/>
    </row>
    <row r="941" spans="1:10" ht="47.25" x14ac:dyDescent="0.25">
      <c r="A941" s="25" t="s">
        <v>214</v>
      </c>
      <c r="B941" s="16">
        <v>910</v>
      </c>
      <c r="C941" s="20" t="s">
        <v>134</v>
      </c>
      <c r="D941" s="20" t="s">
        <v>231</v>
      </c>
      <c r="E941" s="20" t="s">
        <v>596</v>
      </c>
      <c r="F941" s="20" t="s">
        <v>148</v>
      </c>
      <c r="G941" s="26">
        <f>G942</f>
        <v>135</v>
      </c>
      <c r="H941" s="177"/>
    </row>
    <row r="942" spans="1:10" ht="47.25" x14ac:dyDescent="0.25">
      <c r="A942" s="25" t="s">
        <v>149</v>
      </c>
      <c r="B942" s="16">
        <v>910</v>
      </c>
      <c r="C942" s="20" t="s">
        <v>134</v>
      </c>
      <c r="D942" s="20" t="s">
        <v>231</v>
      </c>
      <c r="E942" s="20" t="s">
        <v>596</v>
      </c>
      <c r="F942" s="20" t="s">
        <v>150</v>
      </c>
      <c r="G942" s="26">
        <v>135</v>
      </c>
      <c r="H942" s="177"/>
    </row>
    <row r="943" spans="1:10" ht="15.75" hidden="1" x14ac:dyDescent="0.25">
      <c r="A943" s="25" t="s">
        <v>151</v>
      </c>
      <c r="B943" s="16">
        <v>910</v>
      </c>
      <c r="C943" s="20" t="s">
        <v>134</v>
      </c>
      <c r="D943" s="20" t="s">
        <v>231</v>
      </c>
      <c r="E943" s="20" t="s">
        <v>596</v>
      </c>
      <c r="F943" s="20" t="s">
        <v>161</v>
      </c>
      <c r="G943" s="26">
        <f>G944</f>
        <v>0</v>
      </c>
      <c r="H943" s="177"/>
    </row>
    <row r="944" spans="1:10" ht="15.75" hidden="1" x14ac:dyDescent="0.25">
      <c r="A944" s="25" t="s">
        <v>584</v>
      </c>
      <c r="B944" s="16">
        <v>910</v>
      </c>
      <c r="C944" s="20" t="s">
        <v>134</v>
      </c>
      <c r="D944" s="20" t="s">
        <v>231</v>
      </c>
      <c r="E944" s="20" t="s">
        <v>596</v>
      </c>
      <c r="F944" s="20" t="s">
        <v>154</v>
      </c>
      <c r="G944" s="26">
        <v>0</v>
      </c>
      <c r="H944" s="177"/>
    </row>
    <row r="945" spans="1:10" ht="63" x14ac:dyDescent="0.25">
      <c r="A945" s="23" t="s">
        <v>135</v>
      </c>
      <c r="B945" s="19">
        <v>910</v>
      </c>
      <c r="C945" s="24" t="s">
        <v>134</v>
      </c>
      <c r="D945" s="24" t="s">
        <v>136</v>
      </c>
      <c r="E945" s="24"/>
      <c r="F945" s="24"/>
      <c r="G945" s="21">
        <f>G946</f>
        <v>1682.5</v>
      </c>
      <c r="H945" s="177"/>
    </row>
    <row r="946" spans="1:10" s="112" customFormat="1" ht="15.75" x14ac:dyDescent="0.25">
      <c r="A946" s="25" t="s">
        <v>137</v>
      </c>
      <c r="B946" s="16">
        <v>910</v>
      </c>
      <c r="C946" s="20" t="s">
        <v>134</v>
      </c>
      <c r="D946" s="20" t="s">
        <v>136</v>
      </c>
      <c r="E946" s="20" t="s">
        <v>138</v>
      </c>
      <c r="F946" s="20"/>
      <c r="G946" s="26">
        <f>G947</f>
        <v>1682.5</v>
      </c>
      <c r="H946" s="177"/>
      <c r="I946" s="128"/>
    </row>
    <row r="947" spans="1:10" s="112" customFormat="1" ht="31.5" x14ac:dyDescent="0.25">
      <c r="A947" s="25" t="s">
        <v>139</v>
      </c>
      <c r="B947" s="16">
        <v>910</v>
      </c>
      <c r="C947" s="20" t="s">
        <v>134</v>
      </c>
      <c r="D947" s="20" t="s">
        <v>136</v>
      </c>
      <c r="E947" s="20" t="s">
        <v>140</v>
      </c>
      <c r="F947" s="20"/>
      <c r="G947" s="26">
        <f>G948</f>
        <v>1682.5</v>
      </c>
      <c r="H947" s="177"/>
      <c r="I947" s="128"/>
    </row>
    <row r="948" spans="1:10" s="112" customFormat="1" ht="47.25" x14ac:dyDescent="0.25">
      <c r="A948" s="25" t="s">
        <v>141</v>
      </c>
      <c r="B948" s="16">
        <v>910</v>
      </c>
      <c r="C948" s="20" t="s">
        <v>134</v>
      </c>
      <c r="D948" s="20" t="s">
        <v>136</v>
      </c>
      <c r="E948" s="20" t="s">
        <v>142</v>
      </c>
      <c r="F948" s="20"/>
      <c r="G948" s="26">
        <f>G949+G951</f>
        <v>1682.5</v>
      </c>
      <c r="H948" s="177"/>
      <c r="I948" s="128"/>
    </row>
    <row r="949" spans="1:10" ht="94.5" x14ac:dyDescent="0.25">
      <c r="A949" s="25" t="s">
        <v>143</v>
      </c>
      <c r="B949" s="16">
        <v>910</v>
      </c>
      <c r="C949" s="20" t="s">
        <v>134</v>
      </c>
      <c r="D949" s="20" t="s">
        <v>136</v>
      </c>
      <c r="E949" s="20" t="s">
        <v>142</v>
      </c>
      <c r="F949" s="20" t="s">
        <v>144</v>
      </c>
      <c r="G949" s="26">
        <f>G950</f>
        <v>1664.2</v>
      </c>
      <c r="H949" s="177"/>
    </row>
    <row r="950" spans="1:10" ht="31.5" x14ac:dyDescent="0.25">
      <c r="A950" s="25" t="s">
        <v>145</v>
      </c>
      <c r="B950" s="16">
        <v>910</v>
      </c>
      <c r="C950" s="20" t="s">
        <v>134</v>
      </c>
      <c r="D950" s="20" t="s">
        <v>136</v>
      </c>
      <c r="E950" s="20" t="s">
        <v>142</v>
      </c>
      <c r="F950" s="20" t="s">
        <v>146</v>
      </c>
      <c r="G950" s="26">
        <v>1664.2</v>
      </c>
      <c r="H950" s="177"/>
      <c r="J950" s="173" t="s">
        <v>779</v>
      </c>
    </row>
    <row r="951" spans="1:10" ht="47.25" x14ac:dyDescent="0.25">
      <c r="A951" s="25" t="s">
        <v>214</v>
      </c>
      <c r="B951" s="16">
        <v>910</v>
      </c>
      <c r="C951" s="20" t="s">
        <v>134</v>
      </c>
      <c r="D951" s="20" t="s">
        <v>136</v>
      </c>
      <c r="E951" s="20" t="s">
        <v>142</v>
      </c>
      <c r="F951" s="20" t="s">
        <v>148</v>
      </c>
      <c r="G951" s="26">
        <f>G952</f>
        <v>18.3</v>
      </c>
      <c r="H951" s="177"/>
    </row>
    <row r="952" spans="1:10" ht="47.25" x14ac:dyDescent="0.25">
      <c r="A952" s="25" t="s">
        <v>149</v>
      </c>
      <c r="B952" s="16">
        <v>910</v>
      </c>
      <c r="C952" s="20" t="s">
        <v>134</v>
      </c>
      <c r="D952" s="20" t="s">
        <v>136</v>
      </c>
      <c r="E952" s="20" t="s">
        <v>142</v>
      </c>
      <c r="F952" s="20" t="s">
        <v>150</v>
      </c>
      <c r="G952" s="26">
        <v>18.3</v>
      </c>
      <c r="H952" s="177"/>
    </row>
    <row r="953" spans="1:10" ht="15.75" x14ac:dyDescent="0.25">
      <c r="A953" s="23" t="s">
        <v>155</v>
      </c>
      <c r="B953" s="19">
        <v>910</v>
      </c>
      <c r="C953" s="24" t="s">
        <v>134</v>
      </c>
      <c r="D953" s="24" t="s">
        <v>156</v>
      </c>
      <c r="E953" s="110"/>
      <c r="F953" s="20"/>
      <c r="G953" s="21">
        <f>G954+G958</f>
        <v>32.5</v>
      </c>
      <c r="H953" s="177"/>
    </row>
    <row r="954" spans="1:10" ht="47.25" x14ac:dyDescent="0.25">
      <c r="A954" s="25" t="s">
        <v>177</v>
      </c>
      <c r="B954" s="16">
        <v>910</v>
      </c>
      <c r="C954" s="20" t="s">
        <v>134</v>
      </c>
      <c r="D954" s="20" t="s">
        <v>156</v>
      </c>
      <c r="E954" s="20" t="s">
        <v>178</v>
      </c>
      <c r="F954" s="20"/>
      <c r="G954" s="26">
        <f>G955</f>
        <v>0.5</v>
      </c>
      <c r="H954" s="177"/>
    </row>
    <row r="955" spans="1:10" ht="63" x14ac:dyDescent="0.25">
      <c r="A955" s="31" t="s">
        <v>712</v>
      </c>
      <c r="B955" s="16">
        <v>910</v>
      </c>
      <c r="C955" s="20" t="s">
        <v>134</v>
      </c>
      <c r="D955" s="20" t="s">
        <v>156</v>
      </c>
      <c r="E955" s="40" t="s">
        <v>713</v>
      </c>
      <c r="F955" s="20"/>
      <c r="G955" s="26">
        <f>G956</f>
        <v>0.5</v>
      </c>
      <c r="H955" s="177"/>
    </row>
    <row r="956" spans="1:10" ht="31.5" x14ac:dyDescent="0.25">
      <c r="A956" s="25" t="s">
        <v>147</v>
      </c>
      <c r="B956" s="16">
        <v>910</v>
      </c>
      <c r="C956" s="20" t="s">
        <v>134</v>
      </c>
      <c r="D956" s="20" t="s">
        <v>156</v>
      </c>
      <c r="E956" s="40" t="s">
        <v>713</v>
      </c>
      <c r="F956" s="20" t="s">
        <v>148</v>
      </c>
      <c r="G956" s="26">
        <f>G957</f>
        <v>0.5</v>
      </c>
      <c r="H956" s="177"/>
    </row>
    <row r="957" spans="1:10" ht="47.25" x14ac:dyDescent="0.25">
      <c r="A957" s="25" t="s">
        <v>149</v>
      </c>
      <c r="B957" s="16">
        <v>910</v>
      </c>
      <c r="C957" s="20" t="s">
        <v>134</v>
      </c>
      <c r="D957" s="20" t="s">
        <v>156</v>
      </c>
      <c r="E957" s="40" t="s">
        <v>713</v>
      </c>
      <c r="F957" s="20" t="s">
        <v>150</v>
      </c>
      <c r="G957" s="26">
        <v>0.5</v>
      </c>
      <c r="H957" s="177"/>
    </row>
    <row r="958" spans="1:10" ht="15.75" x14ac:dyDescent="0.25">
      <c r="A958" s="31" t="s">
        <v>137</v>
      </c>
      <c r="B958" s="16">
        <v>910</v>
      </c>
      <c r="C958" s="20" t="s">
        <v>134</v>
      </c>
      <c r="D958" s="20" t="s">
        <v>156</v>
      </c>
      <c r="E958" s="20" t="s">
        <v>138</v>
      </c>
      <c r="F958" s="20"/>
      <c r="G958" s="26">
        <f>G959</f>
        <v>32</v>
      </c>
      <c r="H958" s="177"/>
    </row>
    <row r="959" spans="1:10" ht="31.5" x14ac:dyDescent="0.25">
      <c r="A959" s="31" t="s">
        <v>201</v>
      </c>
      <c r="B959" s="16">
        <v>910</v>
      </c>
      <c r="C959" s="20" t="s">
        <v>134</v>
      </c>
      <c r="D959" s="20" t="s">
        <v>156</v>
      </c>
      <c r="E959" s="20" t="s">
        <v>202</v>
      </c>
      <c r="F959" s="20"/>
      <c r="G959" s="26">
        <f>G960</f>
        <v>32</v>
      </c>
      <c r="H959" s="177"/>
    </row>
    <row r="960" spans="1:10" ht="63" x14ac:dyDescent="0.25">
      <c r="A960" s="31" t="s">
        <v>712</v>
      </c>
      <c r="B960" s="16">
        <v>910</v>
      </c>
      <c r="C960" s="20" t="s">
        <v>134</v>
      </c>
      <c r="D960" s="20" t="s">
        <v>156</v>
      </c>
      <c r="E960" s="20" t="s">
        <v>714</v>
      </c>
      <c r="F960" s="20"/>
      <c r="G960" s="26">
        <f>G961</f>
        <v>32</v>
      </c>
      <c r="H960" s="177"/>
    </row>
    <row r="961" spans="1:12" ht="31.5" x14ac:dyDescent="0.25">
      <c r="A961" s="25" t="s">
        <v>147</v>
      </c>
      <c r="B961" s="16">
        <v>910</v>
      </c>
      <c r="C961" s="20" t="s">
        <v>134</v>
      </c>
      <c r="D961" s="20" t="s">
        <v>156</v>
      </c>
      <c r="E961" s="20" t="s">
        <v>714</v>
      </c>
      <c r="F961" s="20" t="s">
        <v>148</v>
      </c>
      <c r="G961" s="26">
        <f>G962</f>
        <v>32</v>
      </c>
      <c r="H961" s="177"/>
    </row>
    <row r="962" spans="1:12" ht="47.25" x14ac:dyDescent="0.25">
      <c r="A962" s="25" t="s">
        <v>149</v>
      </c>
      <c r="B962" s="16">
        <v>910</v>
      </c>
      <c r="C962" s="20" t="s">
        <v>134</v>
      </c>
      <c r="D962" s="20" t="s">
        <v>156</v>
      </c>
      <c r="E962" s="20" t="s">
        <v>714</v>
      </c>
      <c r="F962" s="20" t="s">
        <v>150</v>
      </c>
      <c r="G962" s="26">
        <v>32</v>
      </c>
      <c r="H962" s="111"/>
    </row>
    <row r="963" spans="1:12" ht="31.5" x14ac:dyDescent="0.25">
      <c r="A963" s="23" t="s">
        <v>597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7"/>
    </row>
    <row r="964" spans="1:12" ht="15.75" x14ac:dyDescent="0.25">
      <c r="A964" s="23" t="s">
        <v>598</v>
      </c>
      <c r="B964" s="19">
        <v>913</v>
      </c>
      <c r="C964" s="24" t="s">
        <v>254</v>
      </c>
      <c r="D964" s="20"/>
      <c r="E964" s="20"/>
      <c r="F964" s="20"/>
      <c r="G964" s="26">
        <f>G965</f>
        <v>6309.8</v>
      </c>
      <c r="H964" s="177"/>
    </row>
    <row r="965" spans="1:12" ht="15.75" x14ac:dyDescent="0.25">
      <c r="A965" s="23" t="s">
        <v>599</v>
      </c>
      <c r="B965" s="19">
        <v>913</v>
      </c>
      <c r="C965" s="24" t="s">
        <v>254</v>
      </c>
      <c r="D965" s="24" t="s">
        <v>229</v>
      </c>
      <c r="E965" s="24"/>
      <c r="F965" s="24"/>
      <c r="G965" s="26">
        <f>G966</f>
        <v>6309.8</v>
      </c>
      <c r="H965" s="177"/>
    </row>
    <row r="966" spans="1:12" ht="15.75" x14ac:dyDescent="0.25">
      <c r="A966" s="25" t="s">
        <v>137</v>
      </c>
      <c r="B966" s="16">
        <v>913</v>
      </c>
      <c r="C966" s="20" t="s">
        <v>254</v>
      </c>
      <c r="D966" s="20" t="s">
        <v>229</v>
      </c>
      <c r="E966" s="20" t="s">
        <v>138</v>
      </c>
      <c r="F966" s="20"/>
      <c r="G966" s="26">
        <f>G967</f>
        <v>6309.8</v>
      </c>
      <c r="H966" s="177"/>
    </row>
    <row r="967" spans="1:12" ht="31.5" x14ac:dyDescent="0.25">
      <c r="A967" s="25" t="s">
        <v>600</v>
      </c>
      <c r="B967" s="16">
        <v>913</v>
      </c>
      <c r="C967" s="20" t="s">
        <v>254</v>
      </c>
      <c r="D967" s="20" t="s">
        <v>229</v>
      </c>
      <c r="E967" s="20" t="s">
        <v>601</v>
      </c>
      <c r="F967" s="20"/>
      <c r="G967" s="26">
        <f>G968</f>
        <v>6309.8</v>
      </c>
      <c r="H967" s="177"/>
    </row>
    <row r="968" spans="1:12" ht="31.5" x14ac:dyDescent="0.25">
      <c r="A968" s="25" t="s">
        <v>326</v>
      </c>
      <c r="B968" s="16">
        <v>913</v>
      </c>
      <c r="C968" s="20" t="s">
        <v>254</v>
      </c>
      <c r="D968" s="20" t="s">
        <v>229</v>
      </c>
      <c r="E968" s="20" t="s">
        <v>602</v>
      </c>
      <c r="F968" s="20"/>
      <c r="G968" s="26">
        <f>G969+G971+G973</f>
        <v>6309.8</v>
      </c>
      <c r="H968" s="177"/>
    </row>
    <row r="969" spans="1:12" ht="94.5" x14ac:dyDescent="0.25">
      <c r="A969" s="25" t="s">
        <v>143</v>
      </c>
      <c r="B969" s="16">
        <v>913</v>
      </c>
      <c r="C969" s="20" t="s">
        <v>254</v>
      </c>
      <c r="D969" s="20" t="s">
        <v>229</v>
      </c>
      <c r="E969" s="20" t="s">
        <v>602</v>
      </c>
      <c r="F969" s="20" t="s">
        <v>144</v>
      </c>
      <c r="G969" s="26">
        <f>G970</f>
        <v>5371.7</v>
      </c>
      <c r="H969" s="177"/>
    </row>
    <row r="970" spans="1:12" ht="31.5" x14ac:dyDescent="0.25">
      <c r="A970" s="25" t="s">
        <v>224</v>
      </c>
      <c r="B970" s="16">
        <v>913</v>
      </c>
      <c r="C970" s="20" t="s">
        <v>254</v>
      </c>
      <c r="D970" s="20" t="s">
        <v>229</v>
      </c>
      <c r="E970" s="20" t="s">
        <v>602</v>
      </c>
      <c r="F970" s="20" t="s">
        <v>225</v>
      </c>
      <c r="G970" s="27">
        <v>5371.7</v>
      </c>
      <c r="H970" s="177"/>
    </row>
    <row r="971" spans="1:12" ht="31.5" x14ac:dyDescent="0.25">
      <c r="A971" s="25" t="s">
        <v>147</v>
      </c>
      <c r="B971" s="16">
        <v>913</v>
      </c>
      <c r="C971" s="20" t="s">
        <v>254</v>
      </c>
      <c r="D971" s="20" t="s">
        <v>229</v>
      </c>
      <c r="E971" s="20" t="s">
        <v>602</v>
      </c>
      <c r="F971" s="20" t="s">
        <v>148</v>
      </c>
      <c r="G971" s="26">
        <f>G972</f>
        <v>928.1</v>
      </c>
      <c r="H971" s="177"/>
    </row>
    <row r="972" spans="1:12" ht="47.25" x14ac:dyDescent="0.25">
      <c r="A972" s="25" t="s">
        <v>149</v>
      </c>
      <c r="B972" s="16">
        <v>913</v>
      </c>
      <c r="C972" s="20" t="s">
        <v>254</v>
      </c>
      <c r="D972" s="20" t="s">
        <v>229</v>
      </c>
      <c r="E972" s="20" t="s">
        <v>602</v>
      </c>
      <c r="F972" s="20" t="s">
        <v>150</v>
      </c>
      <c r="G972" s="27">
        <f>898.3+28.1+1.7</f>
        <v>928.1</v>
      </c>
      <c r="H972" s="106"/>
      <c r="I972" s="125"/>
    </row>
    <row r="973" spans="1:12" ht="15.75" x14ac:dyDescent="0.25">
      <c r="A973" s="25" t="s">
        <v>151</v>
      </c>
      <c r="B973" s="16">
        <v>913</v>
      </c>
      <c r="C973" s="20" t="s">
        <v>254</v>
      </c>
      <c r="D973" s="20" t="s">
        <v>229</v>
      </c>
      <c r="E973" s="20" t="s">
        <v>602</v>
      </c>
      <c r="F973" s="20" t="s">
        <v>161</v>
      </c>
      <c r="G973" s="26">
        <f>G974</f>
        <v>10</v>
      </c>
      <c r="H973" s="177"/>
    </row>
    <row r="974" spans="1:12" ht="15.75" x14ac:dyDescent="0.25">
      <c r="A974" s="25" t="s">
        <v>584</v>
      </c>
      <c r="B974" s="16">
        <v>913</v>
      </c>
      <c r="C974" s="20" t="s">
        <v>254</v>
      </c>
      <c r="D974" s="20" t="s">
        <v>229</v>
      </c>
      <c r="E974" s="20" t="s">
        <v>602</v>
      </c>
      <c r="F974" s="20" t="s">
        <v>154</v>
      </c>
      <c r="G974" s="26">
        <v>10</v>
      </c>
      <c r="H974" s="177"/>
    </row>
    <row r="975" spans="1:12" ht="18.75" x14ac:dyDescent="0.3">
      <c r="A975" s="48" t="s">
        <v>603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7"/>
      <c r="L975" s="116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4"/>
    </row>
    <row r="977" spans="1:12" ht="18.75" x14ac:dyDescent="0.3">
      <c r="A977" s="50"/>
      <c r="B977" s="50"/>
      <c r="C977" s="51"/>
      <c r="D977" s="51"/>
      <c r="E977" s="51"/>
      <c r="F977" s="102" t="s">
        <v>604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2" t="s">
        <v>605</v>
      </c>
      <c r="G978" s="52">
        <f>G98+G180+G186+G208+G214+G261+G273+G338+G444+G480+G494+G527+G581+G640+G694+G787+G827+G879+G623+G959</f>
        <v>204531.10000000003</v>
      </c>
      <c r="I978" s="118"/>
    </row>
    <row r="979" spans="1:12" ht="15.75" x14ac:dyDescent="0.25">
      <c r="A979" s="50"/>
      <c r="B979" s="50"/>
      <c r="C979" s="51"/>
      <c r="D979" s="53"/>
      <c r="E979" s="53"/>
      <c r="F979" s="53"/>
      <c r="G979" s="103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5"/>
      <c r="I981" s="119" t="e">
        <f>'пр.2 Рд,пр 20'!#REF!</f>
        <v>#REF!</v>
      </c>
      <c r="L981" s="105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5"/>
      <c r="I982" s="119">
        <v>0</v>
      </c>
      <c r="L982" s="105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5"/>
      <c r="I983" s="119" t="e">
        <f>'пр.2 Рд,пр 20'!#REF!</f>
        <v>#REF!</v>
      </c>
      <c r="L983" s="105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5"/>
      <c r="I984" s="119" t="e">
        <f>'пр.2 Рд,пр 20'!#REF!</f>
        <v>#REF!</v>
      </c>
      <c r="L984" s="105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5"/>
      <c r="I985" s="119" t="e">
        <f>'пр.2 Рд,пр 20'!#REF!</f>
        <v>#REF!</v>
      </c>
      <c r="L985" s="105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5"/>
      <c r="I986" s="119" t="e">
        <f>'пр.2 Рд,пр 20'!#REF!</f>
        <v>#REF!</v>
      </c>
      <c r="L986" s="105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5"/>
      <c r="I987" s="119" t="e">
        <f>'пр.2 Рд,пр 20'!#REF!</f>
        <v>#REF!</v>
      </c>
      <c r="L987" s="105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5"/>
      <c r="I988" s="119" t="e">
        <f>'пр.2 Рд,пр 20'!#REF!</f>
        <v>#REF!</v>
      </c>
      <c r="L988" s="105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5"/>
      <c r="I989" s="119" t="e">
        <f>'пр.2 Рд,пр 20'!#REF!</f>
        <v>#REF!</v>
      </c>
      <c r="L989" s="105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5"/>
      <c r="I990" s="119" t="e">
        <f>'пр.2 Рд,пр 20'!#REF!</f>
        <v>#REF!</v>
      </c>
      <c r="L990" s="105"/>
    </row>
    <row r="991" spans="1:12" ht="15.75" x14ac:dyDescent="0.25">
      <c r="A991" s="50"/>
      <c r="B991" s="50"/>
      <c r="C991" s="55"/>
      <c r="D991" s="53"/>
      <c r="E991" s="53"/>
      <c r="F991" s="53"/>
      <c r="G991" s="104">
        <f>SUM(G981:G990)</f>
        <v>665442.19000000018</v>
      </c>
      <c r="H991" s="105"/>
      <c r="I991" s="119" t="e">
        <f>'пр.2 Рд,пр 20'!#REF!</f>
        <v>#REF!</v>
      </c>
      <c r="L991" s="105"/>
    </row>
    <row r="992" spans="1:12" x14ac:dyDescent="0.25">
      <c r="G992" s="105"/>
      <c r="H992" s="105"/>
      <c r="I992" s="119"/>
    </row>
    <row r="993" spans="4:9" x14ac:dyDescent="0.25">
      <c r="D993" s="1" t="s">
        <v>606</v>
      </c>
      <c r="E993" s="1">
        <v>50</v>
      </c>
      <c r="G993" s="105">
        <f>G778</f>
        <v>15124.1</v>
      </c>
      <c r="H993" s="105"/>
      <c r="I993" s="119"/>
    </row>
    <row r="994" spans="4:9" x14ac:dyDescent="0.25">
      <c r="E994" s="1">
        <v>51</v>
      </c>
      <c r="G994" s="105">
        <f>G390</f>
        <v>3693</v>
      </c>
      <c r="H994" s="105"/>
      <c r="I994" s="119"/>
    </row>
    <row r="995" spans="4:9" x14ac:dyDescent="0.25">
      <c r="E995" s="1">
        <v>52</v>
      </c>
      <c r="G995" s="105">
        <f>G508+G547+G634+G613</f>
        <v>89244.700000000012</v>
      </c>
      <c r="H995" s="105"/>
      <c r="I995" s="119"/>
    </row>
    <row r="996" spans="4:9" x14ac:dyDescent="0.25">
      <c r="E996" s="1">
        <v>53</v>
      </c>
      <c r="G996" s="105">
        <f>G57</f>
        <v>250</v>
      </c>
      <c r="H996" s="105"/>
      <c r="I996" s="119"/>
    </row>
    <row r="997" spans="4:9" x14ac:dyDescent="0.25">
      <c r="E997" s="1">
        <v>54</v>
      </c>
      <c r="G997" s="105">
        <f>G61+G954</f>
        <v>654</v>
      </c>
      <c r="H997" s="105"/>
      <c r="I997" s="119"/>
    </row>
    <row r="998" spans="4:9" x14ac:dyDescent="0.25">
      <c r="E998" s="1">
        <v>55</v>
      </c>
      <c r="G998" s="105">
        <f>G203</f>
        <v>10</v>
      </c>
      <c r="H998" s="105"/>
      <c r="I998" s="119"/>
    </row>
    <row r="999" spans="4:9" x14ac:dyDescent="0.25">
      <c r="E999" s="1">
        <v>56</v>
      </c>
      <c r="G999" s="105">
        <f>G73</f>
        <v>80</v>
      </c>
      <c r="H999" s="105"/>
      <c r="I999" s="119"/>
    </row>
    <row r="1000" spans="4:9" x14ac:dyDescent="0.25">
      <c r="E1000" s="1">
        <v>57</v>
      </c>
      <c r="G1000" s="105">
        <f>G726+G706+G676</f>
        <v>36478.9</v>
      </c>
      <c r="H1000" s="105"/>
      <c r="I1000" s="119"/>
    </row>
    <row r="1001" spans="4:9" x14ac:dyDescent="0.25">
      <c r="E1001" s="1">
        <v>58</v>
      </c>
      <c r="G1001" s="105">
        <f>G279+G237</f>
        <v>58528.700000000004</v>
      </c>
      <c r="H1001" s="105"/>
      <c r="I1001" s="119"/>
    </row>
    <row r="1002" spans="4:9" x14ac:dyDescent="0.25">
      <c r="E1002" s="1">
        <v>59</v>
      </c>
      <c r="G1002" s="105">
        <f>G333</f>
        <v>200</v>
      </c>
      <c r="H1002" s="105"/>
      <c r="I1002" s="119"/>
    </row>
    <row r="1003" spans="4:9" x14ac:dyDescent="0.25">
      <c r="E1003" s="1">
        <v>60</v>
      </c>
      <c r="G1003" s="105">
        <f>G848</f>
        <v>12375.499999999998</v>
      </c>
      <c r="H1003" s="105"/>
      <c r="I1003" s="119"/>
    </row>
    <row r="1004" spans="4:9" x14ac:dyDescent="0.25">
      <c r="E1004" s="1">
        <v>61</v>
      </c>
      <c r="G1004" s="105">
        <f>G86</f>
        <v>120</v>
      </c>
      <c r="H1004" s="105"/>
      <c r="I1004" s="119"/>
    </row>
    <row r="1005" spans="4:9" x14ac:dyDescent="0.25">
      <c r="E1005" s="1">
        <v>62</v>
      </c>
      <c r="G1005" s="105">
        <f>G801</f>
        <v>5567.9000000000005</v>
      </c>
      <c r="H1005" s="105"/>
      <c r="I1005" s="119"/>
    </row>
    <row r="1006" spans="4:9" x14ac:dyDescent="0.25">
      <c r="E1006" s="1">
        <v>63</v>
      </c>
      <c r="G1006" s="105">
        <f>G359+G646</f>
        <v>145</v>
      </c>
      <c r="H1006" s="105"/>
      <c r="I1006" s="119"/>
    </row>
    <row r="1007" spans="4:9" x14ac:dyDescent="0.25">
      <c r="E1007" s="1">
        <v>64</v>
      </c>
      <c r="G1007" s="105">
        <f>G90+G369</f>
        <v>34</v>
      </c>
      <c r="H1007" s="105"/>
      <c r="I1007" s="119"/>
    </row>
    <row r="1008" spans="4:9" x14ac:dyDescent="0.25">
      <c r="E1008" s="1">
        <v>65</v>
      </c>
      <c r="G1008" s="105">
        <f>G874</f>
        <v>600</v>
      </c>
      <c r="H1008" s="105"/>
      <c r="I1008" s="119"/>
    </row>
    <row r="1009" spans="7:9" x14ac:dyDescent="0.25">
      <c r="G1009" s="105">
        <f>SUM(G993:G1008)</f>
        <v>223105.80000000002</v>
      </c>
      <c r="H1009" s="105"/>
      <c r="I1009" s="119"/>
    </row>
    <row r="1010" spans="7:9" x14ac:dyDescent="0.25">
      <c r="G1010" s="105"/>
      <c r="H1010" s="105"/>
      <c r="I1010" s="119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7"/>
  </cols>
  <sheetData>
    <row r="1" spans="1:8" ht="15.75" x14ac:dyDescent="0.25">
      <c r="D1" s="1"/>
      <c r="F1" s="57" t="s">
        <v>633</v>
      </c>
    </row>
    <row r="2" spans="1:8" ht="15.75" x14ac:dyDescent="0.25">
      <c r="D2" s="1"/>
      <c r="F2" s="57" t="s">
        <v>608</v>
      </c>
    </row>
    <row r="3" spans="1:8" ht="15.75" x14ac:dyDescent="0.25">
      <c r="D3" s="1"/>
      <c r="F3" s="57" t="s">
        <v>761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395" t="s">
        <v>737</v>
      </c>
      <c r="B5" s="395"/>
      <c r="C5" s="395"/>
      <c r="D5" s="395"/>
      <c r="E5" s="395"/>
      <c r="F5" s="395"/>
      <c r="G5" s="395"/>
    </row>
    <row r="6" spans="1:8" ht="16.5" x14ac:dyDescent="0.25">
      <c r="A6" s="175"/>
      <c r="B6" s="175"/>
      <c r="C6" s="175"/>
      <c r="D6" s="175"/>
      <c r="E6" s="175"/>
      <c r="F6" s="175"/>
      <c r="G6" s="175"/>
    </row>
    <row r="7" spans="1:8" ht="15.75" x14ac:dyDescent="0.25">
      <c r="A7" s="62"/>
      <c r="B7" s="62"/>
      <c r="C7" s="62"/>
      <c r="D7" s="62"/>
      <c r="E7" s="64"/>
      <c r="F7" s="64"/>
      <c r="G7" s="65" t="s">
        <v>2</v>
      </c>
    </row>
    <row r="8" spans="1:8" ht="31.5" x14ac:dyDescent="0.25">
      <c r="A8" s="66" t="s">
        <v>609</v>
      </c>
      <c r="B8" s="66" t="s">
        <v>634</v>
      </c>
      <c r="C8" s="66" t="s">
        <v>635</v>
      </c>
      <c r="D8" s="66" t="s">
        <v>636</v>
      </c>
      <c r="E8" s="66" t="s">
        <v>637</v>
      </c>
      <c r="F8" s="66" t="s">
        <v>638</v>
      </c>
      <c r="G8" s="5" t="s">
        <v>5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639</v>
      </c>
      <c r="B10" s="7" t="s">
        <v>526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248</v>
      </c>
      <c r="B11" s="40" t="s">
        <v>526</v>
      </c>
      <c r="C11" s="40" t="s">
        <v>166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524</v>
      </c>
      <c r="B12" s="40" t="s">
        <v>526</v>
      </c>
      <c r="C12" s="40" t="s">
        <v>166</v>
      </c>
      <c r="D12" s="40" t="s">
        <v>235</v>
      </c>
      <c r="E12" s="40"/>
      <c r="F12" s="40"/>
      <c r="G12" s="6" t="e">
        <f>G13</f>
        <v>#REF!</v>
      </c>
    </row>
    <row r="13" spans="1:8" ht="15.75" x14ac:dyDescent="0.25">
      <c r="A13" s="29" t="s">
        <v>527</v>
      </c>
      <c r="B13" s="40" t="s">
        <v>528</v>
      </c>
      <c r="C13" s="40" t="s">
        <v>166</v>
      </c>
      <c r="D13" s="40" t="s">
        <v>235</v>
      </c>
      <c r="E13" s="40"/>
      <c r="F13" s="40"/>
      <c r="G13" s="6" t="e">
        <f>G14+G16</f>
        <v>#REF!</v>
      </c>
    </row>
    <row r="14" spans="1:8" ht="47.25" x14ac:dyDescent="0.25">
      <c r="A14" s="29" t="s">
        <v>147</v>
      </c>
      <c r="B14" s="40" t="s">
        <v>528</v>
      </c>
      <c r="C14" s="40" t="s">
        <v>166</v>
      </c>
      <c r="D14" s="40" t="s">
        <v>235</v>
      </c>
      <c r="E14" s="40" t="s">
        <v>148</v>
      </c>
      <c r="F14" s="40"/>
      <c r="G14" s="6" t="e">
        <f>G15</f>
        <v>#REF!</v>
      </c>
    </row>
    <row r="15" spans="1:8" ht="47.25" x14ac:dyDescent="0.25">
      <c r="A15" s="29" t="s">
        <v>149</v>
      </c>
      <c r="B15" s="40" t="s">
        <v>528</v>
      </c>
      <c r="C15" s="40" t="s">
        <v>166</v>
      </c>
      <c r="D15" s="40" t="s">
        <v>235</v>
      </c>
      <c r="E15" s="40" t="s">
        <v>150</v>
      </c>
      <c r="F15" s="40"/>
      <c r="G15" s="6" t="e">
        <f>'Пр.4 ведом.20'!#REF!</f>
        <v>#REF!</v>
      </c>
      <c r="H15" s="113"/>
    </row>
    <row r="16" spans="1:8" ht="15.75" x14ac:dyDescent="0.25">
      <c r="A16" s="25" t="s">
        <v>151</v>
      </c>
      <c r="B16" s="40" t="s">
        <v>528</v>
      </c>
      <c r="C16" s="40" t="s">
        <v>166</v>
      </c>
      <c r="D16" s="40" t="s">
        <v>235</v>
      </c>
      <c r="E16" s="40" t="s">
        <v>161</v>
      </c>
      <c r="F16" s="40"/>
      <c r="G16" s="6" t="e">
        <f>G17</f>
        <v>#REF!</v>
      </c>
    </row>
    <row r="17" spans="1:8" ht="31.5" x14ac:dyDescent="0.25">
      <c r="A17" s="25" t="s">
        <v>153</v>
      </c>
      <c r="B17" s="40" t="s">
        <v>528</v>
      </c>
      <c r="C17" s="40" t="s">
        <v>166</v>
      </c>
      <c r="D17" s="40" t="s">
        <v>235</v>
      </c>
      <c r="E17" s="40" t="s">
        <v>154</v>
      </c>
      <c r="F17" s="40"/>
      <c r="G17" s="6" t="e">
        <f>'Пр.4 ведом.20'!#REF!</f>
        <v>#REF!</v>
      </c>
      <c r="H17" s="113"/>
    </row>
    <row r="18" spans="1:8" ht="47.25" x14ac:dyDescent="0.25">
      <c r="A18" s="45" t="s">
        <v>640</v>
      </c>
      <c r="B18" s="40" t="s">
        <v>526</v>
      </c>
      <c r="C18" s="40" t="s">
        <v>166</v>
      </c>
      <c r="D18" s="40" t="s">
        <v>235</v>
      </c>
      <c r="E18" s="40"/>
      <c r="F18" s="40" t="s">
        <v>641</v>
      </c>
      <c r="G18" s="6" t="e">
        <f>G13</f>
        <v>#REF!</v>
      </c>
    </row>
    <row r="19" spans="1:8" ht="78.75" x14ac:dyDescent="0.25">
      <c r="A19" s="58" t="s">
        <v>359</v>
      </c>
      <c r="B19" s="7" t="s">
        <v>360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642</v>
      </c>
      <c r="B20" s="7" t="s">
        <v>362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259</v>
      </c>
      <c r="B21" s="40" t="s">
        <v>362</v>
      </c>
      <c r="C21" s="40" t="s">
        <v>260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268</v>
      </c>
      <c r="B22" s="40" t="s">
        <v>362</v>
      </c>
      <c r="C22" s="40" t="s">
        <v>260</v>
      </c>
      <c r="D22" s="40" t="s">
        <v>231</v>
      </c>
      <c r="E22" s="40"/>
      <c r="F22" s="40"/>
      <c r="G22" s="10" t="e">
        <f>G23+G28</f>
        <v>#REF!</v>
      </c>
    </row>
    <row r="23" spans="1:8" ht="47.25" x14ac:dyDescent="0.25">
      <c r="A23" s="29" t="s">
        <v>173</v>
      </c>
      <c r="B23" s="40" t="s">
        <v>643</v>
      </c>
      <c r="C23" s="40" t="s">
        <v>260</v>
      </c>
      <c r="D23" s="40" t="s">
        <v>231</v>
      </c>
      <c r="E23" s="40"/>
      <c r="F23" s="40"/>
      <c r="G23" s="10" t="e">
        <f>G26</f>
        <v>#REF!</v>
      </c>
    </row>
    <row r="24" spans="1:8" ht="110.25" hidden="1" x14ac:dyDescent="0.25">
      <c r="A24" s="25" t="s">
        <v>143</v>
      </c>
      <c r="B24" s="40" t="s">
        <v>643</v>
      </c>
      <c r="C24" s="40" t="s">
        <v>260</v>
      </c>
      <c r="D24" s="40" t="s">
        <v>231</v>
      </c>
      <c r="E24" s="40" t="s">
        <v>144</v>
      </c>
      <c r="F24" s="40"/>
      <c r="G24" s="10">
        <f>G25</f>
        <v>0</v>
      </c>
    </row>
    <row r="25" spans="1:8" ht="47.25" hidden="1" x14ac:dyDescent="0.25">
      <c r="A25" s="25" t="s">
        <v>145</v>
      </c>
      <c r="B25" s="40" t="s">
        <v>643</v>
      </c>
      <c r="C25" s="40" t="s">
        <v>260</v>
      </c>
      <c r="D25" s="40" t="s">
        <v>231</v>
      </c>
      <c r="E25" s="40" t="s">
        <v>146</v>
      </c>
      <c r="F25" s="40"/>
      <c r="G25" s="10"/>
    </row>
    <row r="26" spans="1:8" ht="47.25" x14ac:dyDescent="0.25">
      <c r="A26" s="29" t="s">
        <v>147</v>
      </c>
      <c r="B26" s="40" t="s">
        <v>643</v>
      </c>
      <c r="C26" s="40" t="s">
        <v>260</v>
      </c>
      <c r="D26" s="40" t="s">
        <v>231</v>
      </c>
      <c r="E26" s="40" t="s">
        <v>148</v>
      </c>
      <c r="F26" s="40"/>
      <c r="G26" s="10" t="e">
        <f>G27</f>
        <v>#REF!</v>
      </c>
    </row>
    <row r="27" spans="1:8" ht="47.25" x14ac:dyDescent="0.25">
      <c r="A27" s="29" t="s">
        <v>149</v>
      </c>
      <c r="B27" s="40" t="s">
        <v>643</v>
      </c>
      <c r="C27" s="40" t="s">
        <v>260</v>
      </c>
      <c r="D27" s="40" t="s">
        <v>231</v>
      </c>
      <c r="E27" s="40" t="s">
        <v>150</v>
      </c>
      <c r="F27" s="40"/>
      <c r="G27" s="6" t="e">
        <f>'Пр.4 ведом.20'!#REF!</f>
        <v>#REF!</v>
      </c>
    </row>
    <row r="28" spans="1:8" ht="47.25" x14ac:dyDescent="0.25">
      <c r="A28" s="25" t="s">
        <v>366</v>
      </c>
      <c r="B28" s="20" t="s">
        <v>367</v>
      </c>
      <c r="C28" s="40" t="s">
        <v>260</v>
      </c>
      <c r="D28" s="40" t="s">
        <v>231</v>
      </c>
      <c r="E28" s="40"/>
      <c r="F28" s="40"/>
      <c r="G28" s="10" t="e">
        <f>G29</f>
        <v>#REF!</v>
      </c>
    </row>
    <row r="29" spans="1:8" ht="63" x14ac:dyDescent="0.25">
      <c r="A29" s="25" t="s">
        <v>288</v>
      </c>
      <c r="B29" s="20" t="s">
        <v>367</v>
      </c>
      <c r="C29" s="40" t="s">
        <v>260</v>
      </c>
      <c r="D29" s="40" t="s">
        <v>231</v>
      </c>
      <c r="E29" s="40" t="s">
        <v>289</v>
      </c>
      <c r="F29" s="40"/>
      <c r="G29" s="10" t="e">
        <f>G30</f>
        <v>#REF!</v>
      </c>
    </row>
    <row r="30" spans="1:8" ht="15.75" x14ac:dyDescent="0.25">
      <c r="A30" s="25" t="s">
        <v>290</v>
      </c>
      <c r="B30" s="20" t="s">
        <v>367</v>
      </c>
      <c r="C30" s="40" t="s">
        <v>260</v>
      </c>
      <c r="D30" s="40" t="s">
        <v>231</v>
      </c>
      <c r="E30" s="40" t="s">
        <v>291</v>
      </c>
      <c r="F30" s="40"/>
      <c r="G30" s="10" t="e">
        <f>'Пр.4 ведом.20'!#REF!</f>
        <v>#REF!</v>
      </c>
      <c r="H30" s="113"/>
    </row>
    <row r="31" spans="1:8" ht="63" x14ac:dyDescent="0.25">
      <c r="A31" s="45" t="s">
        <v>277</v>
      </c>
      <c r="B31" s="20" t="s">
        <v>362</v>
      </c>
      <c r="C31" s="40" t="s">
        <v>260</v>
      </c>
      <c r="D31" s="40" t="s">
        <v>231</v>
      </c>
      <c r="E31" s="40"/>
      <c r="F31" s="40" t="s">
        <v>644</v>
      </c>
      <c r="G31" s="6" t="e">
        <f>G20</f>
        <v>#REF!</v>
      </c>
    </row>
    <row r="32" spans="1:8" ht="47.25" x14ac:dyDescent="0.25">
      <c r="A32" s="58" t="s">
        <v>645</v>
      </c>
      <c r="B32" s="7" t="s">
        <v>369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259</v>
      </c>
      <c r="B33" s="40" t="s">
        <v>369</v>
      </c>
      <c r="C33" s="40" t="s">
        <v>260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268</v>
      </c>
      <c r="B34" s="40" t="s">
        <v>369</v>
      </c>
      <c r="C34" s="40" t="s">
        <v>260</v>
      </c>
      <c r="D34" s="40" t="s">
        <v>231</v>
      </c>
      <c r="E34" s="40"/>
      <c r="F34" s="40"/>
      <c r="G34" s="10" t="e">
        <f>G35</f>
        <v>#REF!</v>
      </c>
    </row>
    <row r="35" spans="1:7" ht="31.5" x14ac:dyDescent="0.25">
      <c r="A35" s="25" t="s">
        <v>631</v>
      </c>
      <c r="B35" s="20" t="s">
        <v>632</v>
      </c>
      <c r="C35" s="40" t="s">
        <v>260</v>
      </c>
      <c r="D35" s="40" t="s">
        <v>231</v>
      </c>
      <c r="E35" s="40"/>
      <c r="F35" s="40"/>
      <c r="G35" s="10" t="e">
        <f>G36</f>
        <v>#REF!</v>
      </c>
    </row>
    <row r="36" spans="1:7" ht="31.5" x14ac:dyDescent="0.25">
      <c r="A36" s="29" t="s">
        <v>264</v>
      </c>
      <c r="B36" s="20" t="s">
        <v>632</v>
      </c>
      <c r="C36" s="40" t="s">
        <v>260</v>
      </c>
      <c r="D36" s="40" t="s">
        <v>231</v>
      </c>
      <c r="E36" s="40" t="s">
        <v>265</v>
      </c>
      <c r="F36" s="40"/>
      <c r="G36" s="10" t="e">
        <f>G37</f>
        <v>#REF!</v>
      </c>
    </row>
    <row r="37" spans="1:7" ht="47.25" x14ac:dyDescent="0.25">
      <c r="A37" s="29" t="s">
        <v>266</v>
      </c>
      <c r="B37" s="20" t="s">
        <v>632</v>
      </c>
      <c r="C37" s="40" t="s">
        <v>260</v>
      </c>
      <c r="D37" s="40" t="s">
        <v>231</v>
      </c>
      <c r="E37" s="40" t="s">
        <v>267</v>
      </c>
      <c r="F37" s="40"/>
      <c r="G37" s="10" t="e">
        <f>'Пр.4 ведом.20'!#REF!</f>
        <v>#REF!</v>
      </c>
    </row>
    <row r="38" spans="1:7" ht="63" x14ac:dyDescent="0.25">
      <c r="A38" s="45" t="s">
        <v>277</v>
      </c>
      <c r="B38" s="20" t="s">
        <v>369</v>
      </c>
      <c r="C38" s="40" t="s">
        <v>260</v>
      </c>
      <c r="D38" s="40" t="s">
        <v>231</v>
      </c>
      <c r="E38" s="40"/>
      <c r="F38" s="40" t="s">
        <v>644</v>
      </c>
      <c r="G38" s="10" t="e">
        <f>G32</f>
        <v>#REF!</v>
      </c>
    </row>
    <row r="39" spans="1:7" ht="47.25" x14ac:dyDescent="0.25">
      <c r="A39" s="58" t="s">
        <v>646</v>
      </c>
      <c r="B39" s="7" t="s">
        <v>372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259</v>
      </c>
      <c r="B40" s="40" t="s">
        <v>372</v>
      </c>
      <c r="C40" s="40" t="s">
        <v>260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268</v>
      </c>
      <c r="B41" s="40" t="s">
        <v>372</v>
      </c>
      <c r="C41" s="40" t="s">
        <v>260</v>
      </c>
      <c r="D41" s="40" t="s">
        <v>231</v>
      </c>
      <c r="E41" s="40"/>
      <c r="F41" s="40"/>
      <c r="G41" s="10" t="e">
        <f>G42</f>
        <v>#REF!</v>
      </c>
    </row>
    <row r="42" spans="1:7" ht="47.25" x14ac:dyDescent="0.25">
      <c r="A42" s="29" t="s">
        <v>173</v>
      </c>
      <c r="B42" s="40" t="s">
        <v>647</v>
      </c>
      <c r="C42" s="40" t="s">
        <v>260</v>
      </c>
      <c r="D42" s="40" t="s">
        <v>231</v>
      </c>
      <c r="E42" s="40"/>
      <c r="F42" s="40"/>
      <c r="G42" s="10" t="e">
        <f>G43</f>
        <v>#REF!</v>
      </c>
    </row>
    <row r="43" spans="1:7" ht="31.5" x14ac:dyDescent="0.25">
      <c r="A43" s="29" t="s">
        <v>264</v>
      </c>
      <c r="B43" s="40" t="s">
        <v>647</v>
      </c>
      <c r="C43" s="40" t="s">
        <v>260</v>
      </c>
      <c r="D43" s="40" t="s">
        <v>231</v>
      </c>
      <c r="E43" s="40" t="s">
        <v>265</v>
      </c>
      <c r="F43" s="40"/>
      <c r="G43" s="10" t="e">
        <f>G44</f>
        <v>#REF!</v>
      </c>
    </row>
    <row r="44" spans="1:7" ht="31.5" x14ac:dyDescent="0.25">
      <c r="A44" s="29" t="s">
        <v>364</v>
      </c>
      <c r="B44" s="40" t="s">
        <v>647</v>
      </c>
      <c r="C44" s="40" t="s">
        <v>260</v>
      </c>
      <c r="D44" s="40" t="s">
        <v>231</v>
      </c>
      <c r="E44" s="40" t="s">
        <v>365</v>
      </c>
      <c r="F44" s="40"/>
      <c r="G44" s="10" t="e">
        <f>'Пр.4 ведом.20'!#REF!</f>
        <v>#REF!</v>
      </c>
    </row>
    <row r="45" spans="1:7" ht="63" x14ac:dyDescent="0.25">
      <c r="A45" s="45" t="s">
        <v>277</v>
      </c>
      <c r="B45" s="40" t="s">
        <v>372</v>
      </c>
      <c r="C45" s="40" t="s">
        <v>260</v>
      </c>
      <c r="D45" s="40" t="s">
        <v>231</v>
      </c>
      <c r="E45" s="40"/>
      <c r="F45" s="40" t="s">
        <v>644</v>
      </c>
      <c r="G45" s="10" t="e">
        <f>G39</f>
        <v>#REF!</v>
      </c>
    </row>
    <row r="46" spans="1:7" ht="31.5" x14ac:dyDescent="0.25">
      <c r="A46" s="58" t="s">
        <v>648</v>
      </c>
      <c r="B46" s="7" t="s">
        <v>375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259</v>
      </c>
      <c r="B47" s="40" t="s">
        <v>375</v>
      </c>
      <c r="C47" s="40" t="s">
        <v>260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268</v>
      </c>
      <c r="B48" s="40" t="s">
        <v>375</v>
      </c>
      <c r="C48" s="40" t="s">
        <v>260</v>
      </c>
      <c r="D48" s="40" t="s">
        <v>231</v>
      </c>
      <c r="E48" s="40"/>
      <c r="F48" s="40"/>
      <c r="G48" s="10" t="e">
        <f>G49</f>
        <v>#REF!</v>
      </c>
    </row>
    <row r="49" spans="1:7" ht="47.25" x14ac:dyDescent="0.25">
      <c r="A49" s="29" t="s">
        <v>173</v>
      </c>
      <c r="B49" s="40" t="s">
        <v>649</v>
      </c>
      <c r="C49" s="40" t="s">
        <v>260</v>
      </c>
      <c r="D49" s="40" t="s">
        <v>231</v>
      </c>
      <c r="E49" s="40"/>
      <c r="F49" s="40"/>
      <c r="G49" s="10" t="e">
        <f>G50+G52</f>
        <v>#REF!</v>
      </c>
    </row>
    <row r="50" spans="1:7" ht="47.25" x14ac:dyDescent="0.25">
      <c r="A50" s="29" t="s">
        <v>147</v>
      </c>
      <c r="B50" s="40" t="s">
        <v>649</v>
      </c>
      <c r="C50" s="40" t="s">
        <v>260</v>
      </c>
      <c r="D50" s="40" t="s">
        <v>231</v>
      </c>
      <c r="E50" s="40" t="s">
        <v>148</v>
      </c>
      <c r="F50" s="40"/>
      <c r="G50" s="10" t="e">
        <f>G51</f>
        <v>#REF!</v>
      </c>
    </row>
    <row r="51" spans="1:7" ht="47.25" x14ac:dyDescent="0.25">
      <c r="A51" s="29" t="s">
        <v>149</v>
      </c>
      <c r="B51" s="40" t="s">
        <v>649</v>
      </c>
      <c r="C51" s="40" t="s">
        <v>260</v>
      </c>
      <c r="D51" s="40" t="s">
        <v>231</v>
      </c>
      <c r="E51" s="40" t="s">
        <v>150</v>
      </c>
      <c r="F51" s="40"/>
      <c r="G51" s="10" t="e">
        <f>'Пр.4 ведом.20'!#REF!</f>
        <v>#REF!</v>
      </c>
    </row>
    <row r="52" spans="1:7" ht="31.5" x14ac:dyDescent="0.25">
      <c r="A52" s="29" t="s">
        <v>264</v>
      </c>
      <c r="B52" s="40" t="s">
        <v>649</v>
      </c>
      <c r="C52" s="40" t="s">
        <v>260</v>
      </c>
      <c r="D52" s="40" t="s">
        <v>231</v>
      </c>
      <c r="E52" s="40" t="s">
        <v>265</v>
      </c>
      <c r="F52" s="40"/>
      <c r="G52" s="10" t="e">
        <f>G53</f>
        <v>#REF!</v>
      </c>
    </row>
    <row r="53" spans="1:7" ht="31.5" x14ac:dyDescent="0.25">
      <c r="A53" s="29" t="s">
        <v>364</v>
      </c>
      <c r="B53" s="40" t="s">
        <v>649</v>
      </c>
      <c r="C53" s="40" t="s">
        <v>260</v>
      </c>
      <c r="D53" s="40" t="s">
        <v>231</v>
      </c>
      <c r="E53" s="40" t="s">
        <v>365</v>
      </c>
      <c r="F53" s="40"/>
      <c r="G53" s="10" t="e">
        <f>'Пр.4 ведом.20'!#REF!</f>
        <v>#REF!</v>
      </c>
    </row>
    <row r="54" spans="1:7" ht="63" x14ac:dyDescent="0.25">
      <c r="A54" s="45" t="s">
        <v>277</v>
      </c>
      <c r="B54" s="40" t="s">
        <v>375</v>
      </c>
      <c r="C54" s="40" t="s">
        <v>260</v>
      </c>
      <c r="D54" s="40" t="s">
        <v>231</v>
      </c>
      <c r="E54" s="40"/>
      <c r="F54" s="40" t="s">
        <v>644</v>
      </c>
      <c r="G54" s="10" t="e">
        <f>G46</f>
        <v>#REF!</v>
      </c>
    </row>
    <row r="55" spans="1:7" ht="47.25" x14ac:dyDescent="0.25">
      <c r="A55" s="58" t="s">
        <v>650</v>
      </c>
      <c r="B55" s="7" t="s">
        <v>378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259</v>
      </c>
      <c r="B56" s="40" t="s">
        <v>378</v>
      </c>
      <c r="C56" s="40" t="s">
        <v>260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268</v>
      </c>
      <c r="B57" s="40" t="s">
        <v>378</v>
      </c>
      <c r="C57" s="40" t="s">
        <v>260</v>
      </c>
      <c r="D57" s="40" t="s">
        <v>231</v>
      </c>
      <c r="E57" s="40"/>
      <c r="F57" s="40"/>
      <c r="G57" s="10" t="e">
        <f>G58</f>
        <v>#REF!</v>
      </c>
    </row>
    <row r="58" spans="1:7" ht="47.25" x14ac:dyDescent="0.25">
      <c r="A58" s="29" t="s">
        <v>173</v>
      </c>
      <c r="B58" s="40" t="s">
        <v>651</v>
      </c>
      <c r="C58" s="40" t="s">
        <v>260</v>
      </c>
      <c r="D58" s="40" t="s">
        <v>231</v>
      </c>
      <c r="E58" s="40"/>
      <c r="F58" s="40"/>
      <c r="G58" s="10" t="e">
        <f>G59</f>
        <v>#REF!</v>
      </c>
    </row>
    <row r="59" spans="1:7" ht="31.5" x14ac:dyDescent="0.25">
      <c r="A59" s="29" t="s">
        <v>264</v>
      </c>
      <c r="B59" s="40" t="s">
        <v>651</v>
      </c>
      <c r="C59" s="40" t="s">
        <v>260</v>
      </c>
      <c r="D59" s="40" t="s">
        <v>231</v>
      </c>
      <c r="E59" s="40" t="s">
        <v>265</v>
      </c>
      <c r="F59" s="40"/>
      <c r="G59" s="10" t="e">
        <f>G60</f>
        <v>#REF!</v>
      </c>
    </row>
    <row r="60" spans="1:7" ht="31.5" x14ac:dyDescent="0.25">
      <c r="A60" s="29" t="s">
        <v>364</v>
      </c>
      <c r="B60" s="40" t="s">
        <v>651</v>
      </c>
      <c r="C60" s="40" t="s">
        <v>260</v>
      </c>
      <c r="D60" s="40" t="s">
        <v>231</v>
      </c>
      <c r="E60" s="40" t="s">
        <v>365</v>
      </c>
      <c r="F60" s="40"/>
      <c r="G60" s="10" t="e">
        <f>'Пр.4 ведом.20'!#REF!</f>
        <v>#REF!</v>
      </c>
    </row>
    <row r="61" spans="1:7" ht="63" x14ac:dyDescent="0.25">
      <c r="A61" s="45" t="s">
        <v>277</v>
      </c>
      <c r="B61" s="40" t="s">
        <v>378</v>
      </c>
      <c r="C61" s="40" t="s">
        <v>260</v>
      </c>
      <c r="D61" s="40" t="s">
        <v>231</v>
      </c>
      <c r="E61" s="40"/>
      <c r="F61" s="40" t="s">
        <v>644</v>
      </c>
      <c r="G61" s="10" t="e">
        <f>G55</f>
        <v>#REF!</v>
      </c>
    </row>
    <row r="62" spans="1:7" ht="78.75" x14ac:dyDescent="0.25">
      <c r="A62" s="58" t="s">
        <v>380</v>
      </c>
      <c r="B62" s="7" t="s">
        <v>381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259</v>
      </c>
      <c r="B63" s="40" t="s">
        <v>381</v>
      </c>
      <c r="C63" s="40" t="s">
        <v>260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268</v>
      </c>
      <c r="B64" s="40" t="s">
        <v>381</v>
      </c>
      <c r="C64" s="40" t="s">
        <v>260</v>
      </c>
      <c r="D64" s="40" t="s">
        <v>231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173</v>
      </c>
      <c r="B65" s="40" t="s">
        <v>652</v>
      </c>
      <c r="C65" s="40" t="s">
        <v>260</v>
      </c>
      <c r="D65" s="40" t="s">
        <v>231</v>
      </c>
      <c r="E65" s="40"/>
      <c r="F65" s="40"/>
      <c r="G65" s="10" t="e">
        <f>G66</f>
        <v>#REF!</v>
      </c>
    </row>
    <row r="66" spans="1:7" ht="47.25" x14ac:dyDescent="0.25">
      <c r="A66" s="29" t="s">
        <v>147</v>
      </c>
      <c r="B66" s="40" t="s">
        <v>652</v>
      </c>
      <c r="C66" s="40" t="s">
        <v>260</v>
      </c>
      <c r="D66" s="40" t="s">
        <v>231</v>
      </c>
      <c r="E66" s="40" t="s">
        <v>148</v>
      </c>
      <c r="F66" s="40"/>
      <c r="G66" s="10" t="e">
        <f>G67</f>
        <v>#REF!</v>
      </c>
    </row>
    <row r="67" spans="1:7" ht="47.25" x14ac:dyDescent="0.25">
      <c r="A67" s="29" t="s">
        <v>149</v>
      </c>
      <c r="B67" s="40" t="s">
        <v>652</v>
      </c>
      <c r="C67" s="40" t="s">
        <v>260</v>
      </c>
      <c r="D67" s="40" t="s">
        <v>231</v>
      </c>
      <c r="E67" s="40" t="s">
        <v>150</v>
      </c>
      <c r="F67" s="40"/>
      <c r="G67" s="10" t="e">
        <f>'Пр.4 ведом.20'!#REF!</f>
        <v>#REF!</v>
      </c>
    </row>
    <row r="68" spans="1:7" ht="63" x14ac:dyDescent="0.25">
      <c r="A68" s="45" t="s">
        <v>277</v>
      </c>
      <c r="B68" s="40" t="s">
        <v>381</v>
      </c>
      <c r="C68" s="40" t="s">
        <v>260</v>
      </c>
      <c r="D68" s="40" t="s">
        <v>231</v>
      </c>
      <c r="E68" s="40"/>
      <c r="F68" s="40" t="s">
        <v>644</v>
      </c>
      <c r="G68" s="10" t="e">
        <f>G62</f>
        <v>#REF!</v>
      </c>
    </row>
    <row r="69" spans="1:7" ht="94.5" x14ac:dyDescent="0.25">
      <c r="A69" s="41" t="s">
        <v>383</v>
      </c>
      <c r="B69" s="7" t="s">
        <v>384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259</v>
      </c>
      <c r="B70" s="40" t="s">
        <v>384</v>
      </c>
      <c r="C70" s="40" t="s">
        <v>260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268</v>
      </c>
      <c r="B71" s="40" t="s">
        <v>384</v>
      </c>
      <c r="C71" s="40" t="s">
        <v>260</v>
      </c>
      <c r="D71" s="40" t="s">
        <v>231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173</v>
      </c>
      <c r="B72" s="40" t="s">
        <v>386</v>
      </c>
      <c r="C72" s="40" t="s">
        <v>260</v>
      </c>
      <c r="D72" s="40" t="s">
        <v>231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147</v>
      </c>
      <c r="B73" s="40" t="s">
        <v>384</v>
      </c>
      <c r="C73" s="40" t="s">
        <v>260</v>
      </c>
      <c r="D73" s="40" t="s">
        <v>231</v>
      </c>
      <c r="E73" s="40" t="s">
        <v>148</v>
      </c>
      <c r="F73" s="40"/>
      <c r="G73" s="10">
        <f>G74</f>
        <v>0</v>
      </c>
    </row>
    <row r="74" spans="1:7" ht="47.25" hidden="1" x14ac:dyDescent="0.25">
      <c r="A74" s="29" t="s">
        <v>149</v>
      </c>
      <c r="B74" s="40" t="s">
        <v>384</v>
      </c>
      <c r="C74" s="40" t="s">
        <v>260</v>
      </c>
      <c r="D74" s="40" t="s">
        <v>231</v>
      </c>
      <c r="E74" s="40" t="s">
        <v>150</v>
      </c>
      <c r="F74" s="40"/>
      <c r="G74" s="10"/>
    </row>
    <row r="75" spans="1:7" ht="63" x14ac:dyDescent="0.25">
      <c r="A75" s="25" t="s">
        <v>288</v>
      </c>
      <c r="B75" s="40" t="s">
        <v>386</v>
      </c>
      <c r="C75" s="40" t="s">
        <v>260</v>
      </c>
      <c r="D75" s="40" t="s">
        <v>231</v>
      </c>
      <c r="E75" s="40" t="s">
        <v>289</v>
      </c>
      <c r="F75" s="40"/>
      <c r="G75" s="10" t="e">
        <f>G76</f>
        <v>#REF!</v>
      </c>
    </row>
    <row r="76" spans="1:7" ht="72.75" customHeight="1" x14ac:dyDescent="0.25">
      <c r="A76" s="25" t="s">
        <v>387</v>
      </c>
      <c r="B76" s="40" t="s">
        <v>386</v>
      </c>
      <c r="C76" s="40" t="s">
        <v>260</v>
      </c>
      <c r="D76" s="40" t="s">
        <v>231</v>
      </c>
      <c r="E76" s="40" t="s">
        <v>388</v>
      </c>
      <c r="F76" s="40"/>
      <c r="G76" s="10" t="e">
        <f>'Пр.4 ведом.20'!#REF!</f>
        <v>#REF!</v>
      </c>
    </row>
    <row r="77" spans="1:7" ht="63" x14ac:dyDescent="0.25">
      <c r="A77" s="25" t="s">
        <v>391</v>
      </c>
      <c r="B77" s="20" t="s">
        <v>392</v>
      </c>
      <c r="C77" s="40" t="s">
        <v>260</v>
      </c>
      <c r="D77" s="40" t="s">
        <v>231</v>
      </c>
      <c r="E77" s="40"/>
      <c r="F77" s="40"/>
      <c r="G77" s="10" t="e">
        <f>G78</f>
        <v>#REF!</v>
      </c>
    </row>
    <row r="78" spans="1:7" ht="31.5" x14ac:dyDescent="0.25">
      <c r="A78" s="25" t="s">
        <v>264</v>
      </c>
      <c r="B78" s="20" t="s">
        <v>392</v>
      </c>
      <c r="C78" s="40" t="s">
        <v>260</v>
      </c>
      <c r="D78" s="40" t="s">
        <v>231</v>
      </c>
      <c r="E78" s="40" t="s">
        <v>265</v>
      </c>
      <c r="F78" s="40"/>
      <c r="G78" s="10" t="e">
        <f>G79</f>
        <v>#REF!</v>
      </c>
    </row>
    <row r="79" spans="1:7" ht="47.25" x14ac:dyDescent="0.25">
      <c r="A79" s="25" t="s">
        <v>266</v>
      </c>
      <c r="B79" s="20" t="s">
        <v>392</v>
      </c>
      <c r="C79" s="40" t="s">
        <v>260</v>
      </c>
      <c r="D79" s="40" t="s">
        <v>231</v>
      </c>
      <c r="E79" s="40" t="s">
        <v>267</v>
      </c>
      <c r="F79" s="40"/>
      <c r="G79" s="10" t="e">
        <f>'Пр.4 ведом.20'!#REF!</f>
        <v>#REF!</v>
      </c>
    </row>
    <row r="80" spans="1:7" ht="63" x14ac:dyDescent="0.25">
      <c r="A80" s="45" t="s">
        <v>277</v>
      </c>
      <c r="B80" s="20" t="s">
        <v>384</v>
      </c>
      <c r="C80" s="40" t="s">
        <v>260</v>
      </c>
      <c r="D80" s="40" t="s">
        <v>231</v>
      </c>
      <c r="E80" s="40"/>
      <c r="F80" s="9" t="s">
        <v>644</v>
      </c>
      <c r="G80" s="10" t="e">
        <f>G69</f>
        <v>#REF!</v>
      </c>
    </row>
    <row r="81" spans="1:7" ht="173.25" hidden="1" x14ac:dyDescent="0.25">
      <c r="A81" s="25" t="s">
        <v>389</v>
      </c>
      <c r="B81" s="20" t="s">
        <v>390</v>
      </c>
      <c r="C81" s="40" t="s">
        <v>260</v>
      </c>
      <c r="D81" s="40" t="s">
        <v>231</v>
      </c>
      <c r="E81" s="40"/>
      <c r="F81" s="9"/>
      <c r="G81" s="10">
        <f>G82</f>
        <v>0</v>
      </c>
    </row>
    <row r="82" spans="1:7" ht="15.75" hidden="1" x14ac:dyDescent="0.25">
      <c r="A82" s="25" t="s">
        <v>151</v>
      </c>
      <c r="B82" s="20" t="s">
        <v>390</v>
      </c>
      <c r="C82" s="40" t="s">
        <v>260</v>
      </c>
      <c r="D82" s="40" t="s">
        <v>231</v>
      </c>
      <c r="E82" s="40" t="s">
        <v>161</v>
      </c>
      <c r="F82" s="9"/>
      <c r="G82" s="10">
        <f>G83</f>
        <v>0</v>
      </c>
    </row>
    <row r="83" spans="1:7" ht="78.75" hidden="1" x14ac:dyDescent="0.25">
      <c r="A83" s="25" t="s">
        <v>200</v>
      </c>
      <c r="B83" s="20" t="s">
        <v>390</v>
      </c>
      <c r="C83" s="40" t="s">
        <v>260</v>
      </c>
      <c r="D83" s="40" t="s">
        <v>231</v>
      </c>
      <c r="E83" s="40" t="s">
        <v>176</v>
      </c>
      <c r="F83" s="9"/>
      <c r="G83" s="10"/>
    </row>
    <row r="84" spans="1:7" ht="63" hidden="1" x14ac:dyDescent="0.25">
      <c r="A84" s="45" t="s">
        <v>277</v>
      </c>
      <c r="B84" s="20" t="s">
        <v>390</v>
      </c>
      <c r="C84" s="40" t="s">
        <v>260</v>
      </c>
      <c r="D84" s="40" t="s">
        <v>231</v>
      </c>
      <c r="E84" s="40"/>
      <c r="F84" s="9" t="s">
        <v>644</v>
      </c>
      <c r="G84" s="10">
        <f>G83</f>
        <v>0</v>
      </c>
    </row>
    <row r="85" spans="1:7" ht="63" hidden="1" x14ac:dyDescent="0.25">
      <c r="A85" s="25" t="s">
        <v>391</v>
      </c>
      <c r="B85" s="20" t="s">
        <v>392</v>
      </c>
      <c r="C85" s="40" t="s">
        <v>260</v>
      </c>
      <c r="D85" s="40" t="s">
        <v>231</v>
      </c>
      <c r="E85" s="40"/>
      <c r="F85" s="9"/>
      <c r="G85" s="10">
        <f>G86</f>
        <v>0</v>
      </c>
    </row>
    <row r="86" spans="1:7" ht="31.5" hidden="1" x14ac:dyDescent="0.25">
      <c r="A86" s="29" t="s">
        <v>264</v>
      </c>
      <c r="B86" s="20" t="s">
        <v>392</v>
      </c>
      <c r="C86" s="40" t="s">
        <v>260</v>
      </c>
      <c r="D86" s="40" t="s">
        <v>231</v>
      </c>
      <c r="E86" s="40" t="s">
        <v>265</v>
      </c>
      <c r="F86" s="9"/>
      <c r="G86" s="10">
        <f>G87</f>
        <v>0</v>
      </c>
    </row>
    <row r="87" spans="1:7" ht="47.25" hidden="1" x14ac:dyDescent="0.25">
      <c r="A87" s="29" t="s">
        <v>266</v>
      </c>
      <c r="B87" s="20" t="s">
        <v>392</v>
      </c>
      <c r="C87" s="40" t="s">
        <v>260</v>
      </c>
      <c r="D87" s="40" t="s">
        <v>231</v>
      </c>
      <c r="E87" s="40" t="s">
        <v>267</v>
      </c>
      <c r="F87" s="9"/>
      <c r="G87" s="10"/>
    </row>
    <row r="88" spans="1:7" ht="63" hidden="1" x14ac:dyDescent="0.25">
      <c r="A88" s="45" t="s">
        <v>277</v>
      </c>
      <c r="B88" s="20" t="s">
        <v>392</v>
      </c>
      <c r="C88" s="40" t="s">
        <v>260</v>
      </c>
      <c r="D88" s="40" t="s">
        <v>231</v>
      </c>
      <c r="E88" s="40"/>
      <c r="F88" s="9" t="s">
        <v>644</v>
      </c>
      <c r="G88" s="10">
        <f>G85</f>
        <v>0</v>
      </c>
    </row>
    <row r="89" spans="1:7" ht="47.25" hidden="1" x14ac:dyDescent="0.25">
      <c r="A89" s="29" t="s">
        <v>393</v>
      </c>
      <c r="B89" s="20" t="s">
        <v>394</v>
      </c>
      <c r="C89" s="40" t="s">
        <v>260</v>
      </c>
      <c r="D89" s="40" t="s">
        <v>231</v>
      </c>
      <c r="E89" s="40"/>
      <c r="F89" s="40"/>
      <c r="G89" s="10">
        <f>G90</f>
        <v>0</v>
      </c>
    </row>
    <row r="90" spans="1:7" ht="47.25" hidden="1" x14ac:dyDescent="0.25">
      <c r="A90" s="29" t="s">
        <v>147</v>
      </c>
      <c r="B90" s="20" t="s">
        <v>394</v>
      </c>
      <c r="C90" s="40" t="s">
        <v>260</v>
      </c>
      <c r="D90" s="40" t="s">
        <v>231</v>
      </c>
      <c r="E90" s="40" t="s">
        <v>148</v>
      </c>
      <c r="F90" s="40"/>
      <c r="G90" s="10">
        <f>G91</f>
        <v>0</v>
      </c>
    </row>
    <row r="91" spans="1:7" ht="47.25" hidden="1" x14ac:dyDescent="0.25">
      <c r="A91" s="29" t="s">
        <v>149</v>
      </c>
      <c r="B91" s="20" t="s">
        <v>394</v>
      </c>
      <c r="C91" s="40" t="s">
        <v>260</v>
      </c>
      <c r="D91" s="40" t="s">
        <v>231</v>
      </c>
      <c r="E91" s="40" t="s">
        <v>150</v>
      </c>
      <c r="F91" s="40"/>
      <c r="G91" s="10">
        <v>0</v>
      </c>
    </row>
    <row r="92" spans="1:7" ht="15.75" hidden="1" x14ac:dyDescent="0.25">
      <c r="A92" s="29" t="s">
        <v>151</v>
      </c>
      <c r="B92" s="20" t="s">
        <v>394</v>
      </c>
      <c r="C92" s="40" t="s">
        <v>260</v>
      </c>
      <c r="D92" s="40" t="s">
        <v>231</v>
      </c>
      <c r="E92" s="40" t="s">
        <v>161</v>
      </c>
      <c r="F92" s="40"/>
      <c r="G92" s="10"/>
    </row>
    <row r="93" spans="1:7" ht="78.75" hidden="1" x14ac:dyDescent="0.25">
      <c r="A93" s="29" t="s">
        <v>200</v>
      </c>
      <c r="B93" s="20" t="s">
        <v>394</v>
      </c>
      <c r="C93" s="40" t="s">
        <v>260</v>
      </c>
      <c r="D93" s="40" t="s">
        <v>231</v>
      </c>
      <c r="E93" s="40" t="s">
        <v>176</v>
      </c>
      <c r="F93" s="40"/>
      <c r="G93" s="10"/>
    </row>
    <row r="94" spans="1:7" ht="63" hidden="1" x14ac:dyDescent="0.25">
      <c r="A94" s="45" t="s">
        <v>277</v>
      </c>
      <c r="B94" s="20" t="s">
        <v>394</v>
      </c>
      <c r="C94" s="40" t="s">
        <v>260</v>
      </c>
      <c r="D94" s="40" t="s">
        <v>231</v>
      </c>
      <c r="E94" s="40"/>
      <c r="F94" s="9" t="s">
        <v>644</v>
      </c>
      <c r="G94" s="10">
        <f>G89</f>
        <v>0</v>
      </c>
    </row>
    <row r="95" spans="1:7" ht="141.75" x14ac:dyDescent="0.25">
      <c r="A95" s="41" t="s">
        <v>396</v>
      </c>
      <c r="B95" s="7" t="s">
        <v>397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259</v>
      </c>
      <c r="B96" s="40" t="s">
        <v>397</v>
      </c>
      <c r="C96" s="40" t="s">
        <v>260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268</v>
      </c>
      <c r="B97" s="40" t="s">
        <v>397</v>
      </c>
      <c r="C97" s="40" t="s">
        <v>260</v>
      </c>
      <c r="D97" s="40" t="s">
        <v>231</v>
      </c>
      <c r="E97" s="40"/>
      <c r="F97" s="9"/>
      <c r="G97" s="10" t="e">
        <f>G98</f>
        <v>#REF!</v>
      </c>
    </row>
    <row r="98" spans="1:7" ht="47.25" x14ac:dyDescent="0.25">
      <c r="A98" s="29" t="s">
        <v>173</v>
      </c>
      <c r="B98" s="40" t="s">
        <v>398</v>
      </c>
      <c r="C98" s="40" t="s">
        <v>260</v>
      </c>
      <c r="D98" s="40" t="s">
        <v>231</v>
      </c>
      <c r="E98" s="40"/>
      <c r="F98" s="9"/>
      <c r="G98" s="10" t="e">
        <f>G99</f>
        <v>#REF!</v>
      </c>
    </row>
    <row r="99" spans="1:7" ht="47.25" x14ac:dyDescent="0.25">
      <c r="A99" s="29" t="s">
        <v>147</v>
      </c>
      <c r="B99" s="40" t="s">
        <v>398</v>
      </c>
      <c r="C99" s="40" t="s">
        <v>260</v>
      </c>
      <c r="D99" s="40" t="s">
        <v>231</v>
      </c>
      <c r="E99" s="40" t="s">
        <v>148</v>
      </c>
      <c r="F99" s="9"/>
      <c r="G99" s="10" t="e">
        <f>G100</f>
        <v>#REF!</v>
      </c>
    </row>
    <row r="100" spans="1:7" ht="47.25" x14ac:dyDescent="0.25">
      <c r="A100" s="29" t="s">
        <v>149</v>
      </c>
      <c r="B100" s="40" t="s">
        <v>398</v>
      </c>
      <c r="C100" s="40" t="s">
        <v>260</v>
      </c>
      <c r="D100" s="40" t="s">
        <v>231</v>
      </c>
      <c r="E100" s="40" t="s">
        <v>150</v>
      </c>
      <c r="F100" s="9"/>
      <c r="G100" s="10" t="e">
        <f>'Пр.4 ведом.20'!#REF!</f>
        <v>#REF!</v>
      </c>
    </row>
    <row r="101" spans="1:7" ht="63" x14ac:dyDescent="0.25">
      <c r="A101" s="45" t="s">
        <v>277</v>
      </c>
      <c r="B101" s="40" t="s">
        <v>397</v>
      </c>
      <c r="C101" s="40" t="s">
        <v>260</v>
      </c>
      <c r="D101" s="40" t="s">
        <v>231</v>
      </c>
      <c r="E101" s="40"/>
      <c r="F101" s="9" t="s">
        <v>644</v>
      </c>
      <c r="G101" s="10" t="e">
        <f>G95</f>
        <v>#REF!</v>
      </c>
    </row>
    <row r="102" spans="1:7" ht="63" x14ac:dyDescent="0.25">
      <c r="A102" s="58" t="s">
        <v>442</v>
      </c>
      <c r="B102" s="7" t="s">
        <v>422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423</v>
      </c>
      <c r="B103" s="7" t="s">
        <v>424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279</v>
      </c>
      <c r="B104" s="40" t="s">
        <v>424</v>
      </c>
      <c r="C104" s="40" t="s">
        <v>280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420</v>
      </c>
      <c r="B105" s="40" t="s">
        <v>424</v>
      </c>
      <c r="C105" s="40" t="s">
        <v>280</v>
      </c>
      <c r="D105" s="40" t="s">
        <v>134</v>
      </c>
      <c r="E105" s="40"/>
      <c r="F105" s="40"/>
      <c r="G105" s="10" t="e">
        <f>G106</f>
        <v>#REF!</v>
      </c>
    </row>
    <row r="106" spans="1:7" ht="63" x14ac:dyDescent="0.25">
      <c r="A106" s="29" t="s">
        <v>425</v>
      </c>
      <c r="B106" s="40" t="s">
        <v>426</v>
      </c>
      <c r="C106" s="40" t="s">
        <v>280</v>
      </c>
      <c r="D106" s="40" t="s">
        <v>134</v>
      </c>
      <c r="E106" s="40"/>
      <c r="F106" s="40"/>
      <c r="G106" s="10" t="e">
        <f>G107</f>
        <v>#REF!</v>
      </c>
    </row>
    <row r="107" spans="1:7" ht="63" x14ac:dyDescent="0.25">
      <c r="A107" s="29" t="s">
        <v>288</v>
      </c>
      <c r="B107" s="40" t="s">
        <v>426</v>
      </c>
      <c r="C107" s="40" t="s">
        <v>280</v>
      </c>
      <c r="D107" s="40" t="s">
        <v>134</v>
      </c>
      <c r="E107" s="40" t="s">
        <v>289</v>
      </c>
      <c r="F107" s="40"/>
      <c r="G107" s="10" t="e">
        <f>G108</f>
        <v>#REF!</v>
      </c>
    </row>
    <row r="108" spans="1:7" ht="15.75" x14ac:dyDescent="0.25">
      <c r="A108" s="29" t="s">
        <v>290</v>
      </c>
      <c r="B108" s="40" t="s">
        <v>426</v>
      </c>
      <c r="C108" s="40" t="s">
        <v>280</v>
      </c>
      <c r="D108" s="40" t="s">
        <v>134</v>
      </c>
      <c r="E108" s="40" t="s">
        <v>291</v>
      </c>
      <c r="F108" s="40"/>
      <c r="G108" s="6" t="e">
        <f>'Пр.4 ведом.20'!#REF!</f>
        <v>#REF!</v>
      </c>
    </row>
    <row r="109" spans="1:7" ht="15.75" x14ac:dyDescent="0.25">
      <c r="A109" s="29" t="s">
        <v>441</v>
      </c>
      <c r="B109" s="40" t="s">
        <v>424</v>
      </c>
      <c r="C109" s="40" t="s">
        <v>280</v>
      </c>
      <c r="D109" s="40" t="s">
        <v>229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443</v>
      </c>
      <c r="B110" s="40" t="s">
        <v>444</v>
      </c>
      <c r="C110" s="40" t="s">
        <v>280</v>
      </c>
      <c r="D110" s="40" t="s">
        <v>229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288</v>
      </c>
      <c r="B111" s="40" t="s">
        <v>444</v>
      </c>
      <c r="C111" s="40" t="s">
        <v>280</v>
      </c>
      <c r="D111" s="40" t="s">
        <v>229</v>
      </c>
      <c r="E111" s="40" t="s">
        <v>289</v>
      </c>
      <c r="F111" s="40"/>
      <c r="G111" s="10" t="e">
        <f>G112</f>
        <v>#REF!</v>
      </c>
    </row>
    <row r="112" spans="1:7" ht="15.75" x14ac:dyDescent="0.25">
      <c r="A112" s="29" t="s">
        <v>290</v>
      </c>
      <c r="B112" s="40" t="s">
        <v>444</v>
      </c>
      <c r="C112" s="40" t="s">
        <v>280</v>
      </c>
      <c r="D112" s="40" t="s">
        <v>229</v>
      </c>
      <c r="E112" s="40" t="s">
        <v>291</v>
      </c>
      <c r="F112" s="40"/>
      <c r="G112" s="6" t="e">
        <f>'Пр.4 ведом.20'!#REF!</f>
        <v>#REF!</v>
      </c>
    </row>
    <row r="113" spans="1:7" ht="15.75" x14ac:dyDescent="0.25">
      <c r="A113" s="29" t="s">
        <v>281</v>
      </c>
      <c r="B113" s="40" t="s">
        <v>424</v>
      </c>
      <c r="C113" s="40" t="s">
        <v>280</v>
      </c>
      <c r="D113" s="40" t="s">
        <v>231</v>
      </c>
      <c r="E113" s="40"/>
      <c r="F113" s="40"/>
      <c r="G113" s="6" t="e">
        <f>G114</f>
        <v>#REF!</v>
      </c>
    </row>
    <row r="114" spans="1:7" ht="63" x14ac:dyDescent="0.25">
      <c r="A114" s="29" t="s">
        <v>286</v>
      </c>
      <c r="B114" s="40" t="s">
        <v>445</v>
      </c>
      <c r="C114" s="40" t="s">
        <v>280</v>
      </c>
      <c r="D114" s="40" t="s">
        <v>231</v>
      </c>
      <c r="E114" s="7"/>
      <c r="F114" s="7"/>
      <c r="G114" s="10" t="e">
        <f>G115</f>
        <v>#REF!</v>
      </c>
    </row>
    <row r="115" spans="1:7" ht="63" x14ac:dyDescent="0.25">
      <c r="A115" s="29" t="s">
        <v>288</v>
      </c>
      <c r="B115" s="40" t="s">
        <v>445</v>
      </c>
      <c r="C115" s="40" t="s">
        <v>280</v>
      </c>
      <c r="D115" s="40" t="s">
        <v>231</v>
      </c>
      <c r="E115" s="40" t="s">
        <v>289</v>
      </c>
      <c r="F115" s="40"/>
      <c r="G115" s="10" t="e">
        <f>G116</f>
        <v>#REF!</v>
      </c>
    </row>
    <row r="116" spans="1:7" ht="15.75" x14ac:dyDescent="0.25">
      <c r="A116" s="29" t="s">
        <v>290</v>
      </c>
      <c r="B116" s="40" t="s">
        <v>445</v>
      </c>
      <c r="C116" s="40" t="s">
        <v>280</v>
      </c>
      <c r="D116" s="40" t="s">
        <v>231</v>
      </c>
      <c r="E116" s="40" t="s">
        <v>291</v>
      </c>
      <c r="F116" s="40"/>
      <c r="G116" s="6" t="e">
        <f>'Пр.4 ведом.20'!#REF!</f>
        <v>#REF!</v>
      </c>
    </row>
    <row r="117" spans="1:7" ht="47.25" x14ac:dyDescent="0.25">
      <c r="A117" s="29" t="s">
        <v>419</v>
      </c>
      <c r="B117" s="40" t="s">
        <v>424</v>
      </c>
      <c r="C117" s="40" t="s">
        <v>280</v>
      </c>
      <c r="D117" s="40" t="s">
        <v>231</v>
      </c>
      <c r="E117" s="40"/>
      <c r="F117" s="40" t="s">
        <v>653</v>
      </c>
      <c r="G117" s="6" t="e">
        <f>G103</f>
        <v>#REF!</v>
      </c>
    </row>
    <row r="118" spans="1:7" ht="47.25" x14ac:dyDescent="0.25">
      <c r="A118" s="41" t="s">
        <v>427</v>
      </c>
      <c r="B118" s="7" t="s">
        <v>428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279</v>
      </c>
      <c r="B119" s="40" t="s">
        <v>428</v>
      </c>
      <c r="C119" s="40" t="s">
        <v>280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420</v>
      </c>
      <c r="B120" s="40" t="s">
        <v>428</v>
      </c>
      <c r="C120" s="40" t="s">
        <v>280</v>
      </c>
      <c r="D120" s="40" t="s">
        <v>134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612</v>
      </c>
      <c r="B121" s="40" t="s">
        <v>613</v>
      </c>
      <c r="C121" s="40" t="s">
        <v>280</v>
      </c>
      <c r="D121" s="40" t="s">
        <v>134</v>
      </c>
      <c r="E121" s="40"/>
      <c r="F121" s="40"/>
      <c r="G121" s="10">
        <f>G122</f>
        <v>0</v>
      </c>
    </row>
    <row r="122" spans="1:7" ht="63" hidden="1" x14ac:dyDescent="0.25">
      <c r="A122" s="29" t="s">
        <v>288</v>
      </c>
      <c r="B122" s="40" t="s">
        <v>613</v>
      </c>
      <c r="C122" s="40" t="s">
        <v>280</v>
      </c>
      <c r="D122" s="40" t="s">
        <v>134</v>
      </c>
      <c r="E122" s="40" t="s">
        <v>289</v>
      </c>
      <c r="F122" s="40"/>
      <c r="G122" s="10">
        <f>G123</f>
        <v>0</v>
      </c>
    </row>
    <row r="123" spans="1:7" ht="15.75" hidden="1" x14ac:dyDescent="0.25">
      <c r="A123" s="29" t="s">
        <v>290</v>
      </c>
      <c r="B123" s="40" t="s">
        <v>613</v>
      </c>
      <c r="C123" s="40" t="s">
        <v>280</v>
      </c>
      <c r="D123" s="40" t="s">
        <v>134</v>
      </c>
      <c r="E123" s="40" t="s">
        <v>291</v>
      </c>
      <c r="F123" s="40"/>
      <c r="G123" s="10"/>
    </row>
    <row r="124" spans="1:7" ht="47.25" hidden="1" x14ac:dyDescent="0.25">
      <c r="A124" s="29" t="s">
        <v>419</v>
      </c>
      <c r="B124" s="40" t="s">
        <v>613</v>
      </c>
      <c r="C124" s="40" t="s">
        <v>280</v>
      </c>
      <c r="D124" s="40" t="s">
        <v>134</v>
      </c>
      <c r="E124" s="40"/>
      <c r="F124" s="40" t="s">
        <v>653</v>
      </c>
      <c r="G124" s="10">
        <v>0</v>
      </c>
    </row>
    <row r="125" spans="1:7" ht="47.25" hidden="1" x14ac:dyDescent="0.25">
      <c r="A125" s="29" t="s">
        <v>294</v>
      </c>
      <c r="B125" s="40" t="s">
        <v>614</v>
      </c>
      <c r="C125" s="40" t="s">
        <v>280</v>
      </c>
      <c r="D125" s="40" t="s">
        <v>134</v>
      </c>
      <c r="E125" s="40"/>
      <c r="F125" s="40"/>
      <c r="G125" s="10">
        <f>G126</f>
        <v>0</v>
      </c>
    </row>
    <row r="126" spans="1:7" ht="63" hidden="1" x14ac:dyDescent="0.25">
      <c r="A126" s="29" t="s">
        <v>288</v>
      </c>
      <c r="B126" s="40" t="s">
        <v>614</v>
      </c>
      <c r="C126" s="40" t="s">
        <v>280</v>
      </c>
      <c r="D126" s="40" t="s">
        <v>134</v>
      </c>
      <c r="E126" s="40" t="s">
        <v>289</v>
      </c>
      <c r="F126" s="40"/>
      <c r="G126" s="10">
        <f>G127</f>
        <v>0</v>
      </c>
    </row>
    <row r="127" spans="1:7" ht="15.75" hidden="1" x14ac:dyDescent="0.25">
      <c r="A127" s="29" t="s">
        <v>290</v>
      </c>
      <c r="B127" s="40" t="s">
        <v>614</v>
      </c>
      <c r="C127" s="40" t="s">
        <v>280</v>
      </c>
      <c r="D127" s="40" t="s">
        <v>134</v>
      </c>
      <c r="E127" s="40" t="s">
        <v>291</v>
      </c>
      <c r="F127" s="40"/>
      <c r="G127" s="10"/>
    </row>
    <row r="128" spans="1:7" ht="47.25" hidden="1" x14ac:dyDescent="0.25">
      <c r="A128" s="29" t="s">
        <v>419</v>
      </c>
      <c r="B128" s="40" t="s">
        <v>614</v>
      </c>
      <c r="C128" s="40" t="s">
        <v>280</v>
      </c>
      <c r="D128" s="40" t="s">
        <v>134</v>
      </c>
      <c r="E128" s="40"/>
      <c r="F128" s="40" t="s">
        <v>653</v>
      </c>
      <c r="G128" s="10">
        <v>0</v>
      </c>
    </row>
    <row r="129" spans="1:8" ht="31.5" x14ac:dyDescent="0.25">
      <c r="A129" s="29" t="s">
        <v>296</v>
      </c>
      <c r="B129" s="40" t="s">
        <v>430</v>
      </c>
      <c r="C129" s="40" t="s">
        <v>280</v>
      </c>
      <c r="D129" s="40" t="s">
        <v>134</v>
      </c>
      <c r="E129" s="40"/>
      <c r="F129" s="40"/>
      <c r="G129" s="10" t="e">
        <f>G130</f>
        <v>#REF!</v>
      </c>
    </row>
    <row r="130" spans="1:8" ht="63" x14ac:dyDescent="0.25">
      <c r="A130" s="29" t="s">
        <v>288</v>
      </c>
      <c r="B130" s="40" t="s">
        <v>430</v>
      </c>
      <c r="C130" s="40" t="s">
        <v>280</v>
      </c>
      <c r="D130" s="40" t="s">
        <v>134</v>
      </c>
      <c r="E130" s="40" t="s">
        <v>289</v>
      </c>
      <c r="F130" s="40"/>
      <c r="G130" s="10" t="e">
        <f>G131</f>
        <v>#REF!</v>
      </c>
    </row>
    <row r="131" spans="1:8" ht="15.75" x14ac:dyDescent="0.25">
      <c r="A131" s="29" t="s">
        <v>290</v>
      </c>
      <c r="B131" s="40" t="s">
        <v>430</v>
      </c>
      <c r="C131" s="40" t="s">
        <v>280</v>
      </c>
      <c r="D131" s="40" t="s">
        <v>134</v>
      </c>
      <c r="E131" s="40" t="s">
        <v>291</v>
      </c>
      <c r="F131" s="40"/>
      <c r="G131" s="160" t="e">
        <f>'Пр.4 ведом.20'!#REF!</f>
        <v>#REF!</v>
      </c>
      <c r="H131" s="161" t="s">
        <v>748</v>
      </c>
    </row>
    <row r="132" spans="1:8" ht="47.25" hidden="1" x14ac:dyDescent="0.25">
      <c r="A132" s="29" t="s">
        <v>419</v>
      </c>
      <c r="B132" s="40" t="s">
        <v>430</v>
      </c>
      <c r="C132" s="40" t="s">
        <v>280</v>
      </c>
      <c r="D132" s="40" t="s">
        <v>134</v>
      </c>
      <c r="E132" s="40"/>
      <c r="F132" s="40" t="s">
        <v>653</v>
      </c>
      <c r="G132" s="10"/>
    </row>
    <row r="133" spans="1:8" ht="63" x14ac:dyDescent="0.25">
      <c r="A133" s="29" t="s">
        <v>431</v>
      </c>
      <c r="B133" s="40" t="s">
        <v>432</v>
      </c>
      <c r="C133" s="40" t="s">
        <v>280</v>
      </c>
      <c r="D133" s="40" t="s">
        <v>134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288</v>
      </c>
      <c r="B134" s="40" t="s">
        <v>432</v>
      </c>
      <c r="C134" s="40" t="s">
        <v>280</v>
      </c>
      <c r="D134" s="40" t="s">
        <v>134</v>
      </c>
      <c r="E134" s="40" t="s">
        <v>289</v>
      </c>
      <c r="F134" s="40"/>
      <c r="G134" s="10" t="e">
        <f>G135</f>
        <v>#REF!</v>
      </c>
    </row>
    <row r="135" spans="1:8" ht="15.75" x14ac:dyDescent="0.25">
      <c r="A135" s="29" t="s">
        <v>290</v>
      </c>
      <c r="B135" s="40" t="s">
        <v>432</v>
      </c>
      <c r="C135" s="40" t="s">
        <v>280</v>
      </c>
      <c r="D135" s="40" t="s">
        <v>134</v>
      </c>
      <c r="E135" s="40" t="s">
        <v>291</v>
      </c>
      <c r="F135" s="40"/>
      <c r="G135" s="6" t="e">
        <f>'Пр.4 ведом.20'!#REF!</f>
        <v>#REF!</v>
      </c>
    </row>
    <row r="136" spans="1:8" ht="47.25" x14ac:dyDescent="0.25">
      <c r="A136" s="29" t="s">
        <v>419</v>
      </c>
      <c r="B136" s="40" t="s">
        <v>428</v>
      </c>
      <c r="C136" s="40" t="s">
        <v>280</v>
      </c>
      <c r="D136" s="40" t="s">
        <v>134</v>
      </c>
      <c r="E136" s="40"/>
      <c r="F136" s="40" t="s">
        <v>653</v>
      </c>
      <c r="G136" s="6" t="e">
        <f>G118+G131</f>
        <v>#REF!</v>
      </c>
    </row>
    <row r="137" spans="1:8" ht="31.5" hidden="1" x14ac:dyDescent="0.25">
      <c r="A137" s="29" t="s">
        <v>300</v>
      </c>
      <c r="B137" s="40" t="s">
        <v>617</v>
      </c>
      <c r="C137" s="40" t="s">
        <v>280</v>
      </c>
      <c r="D137" s="40" t="s">
        <v>134</v>
      </c>
      <c r="E137" s="40"/>
      <c r="F137" s="40"/>
      <c r="G137" s="10">
        <f>G138</f>
        <v>0</v>
      </c>
    </row>
    <row r="138" spans="1:8" ht="63" hidden="1" x14ac:dyDescent="0.25">
      <c r="A138" s="29" t="s">
        <v>288</v>
      </c>
      <c r="B138" s="40" t="s">
        <v>617</v>
      </c>
      <c r="C138" s="40" t="s">
        <v>280</v>
      </c>
      <c r="D138" s="40" t="s">
        <v>134</v>
      </c>
      <c r="E138" s="40" t="s">
        <v>289</v>
      </c>
      <c r="F138" s="40"/>
      <c r="G138" s="10">
        <f>G139</f>
        <v>0</v>
      </c>
    </row>
    <row r="139" spans="1:8" ht="15.75" hidden="1" x14ac:dyDescent="0.25">
      <c r="A139" s="29" t="s">
        <v>290</v>
      </c>
      <c r="B139" s="40" t="s">
        <v>617</v>
      </c>
      <c r="C139" s="40" t="s">
        <v>280</v>
      </c>
      <c r="D139" s="40" t="s">
        <v>134</v>
      </c>
      <c r="E139" s="40" t="s">
        <v>291</v>
      </c>
      <c r="F139" s="40"/>
      <c r="G139" s="10"/>
    </row>
    <row r="140" spans="1:8" ht="47.25" hidden="1" x14ac:dyDescent="0.25">
      <c r="A140" s="29" t="s">
        <v>419</v>
      </c>
      <c r="B140" s="40" t="s">
        <v>617</v>
      </c>
      <c r="C140" s="40" t="s">
        <v>280</v>
      </c>
      <c r="D140" s="40" t="s">
        <v>134</v>
      </c>
      <c r="E140" s="40"/>
      <c r="F140" s="40" t="s">
        <v>653</v>
      </c>
      <c r="G140" s="10">
        <v>0</v>
      </c>
    </row>
    <row r="141" spans="1:8" ht="47.25" x14ac:dyDescent="0.25">
      <c r="A141" s="41" t="s">
        <v>446</v>
      </c>
      <c r="B141" s="7" t="s">
        <v>447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612</v>
      </c>
      <c r="B142" s="40" t="s">
        <v>618</v>
      </c>
      <c r="C142" s="40" t="s">
        <v>280</v>
      </c>
      <c r="D142" s="40" t="s">
        <v>229</v>
      </c>
      <c r="E142" s="40"/>
      <c r="F142" s="40"/>
      <c r="G142" s="10">
        <f>G143</f>
        <v>0</v>
      </c>
    </row>
    <row r="143" spans="1:8" ht="63" hidden="1" x14ac:dyDescent="0.25">
      <c r="A143" s="29" t="s">
        <v>288</v>
      </c>
      <c r="B143" s="40" t="s">
        <v>618</v>
      </c>
      <c r="C143" s="40" t="s">
        <v>280</v>
      </c>
      <c r="D143" s="40" t="s">
        <v>229</v>
      </c>
      <c r="E143" s="40" t="s">
        <v>289</v>
      </c>
      <c r="F143" s="40"/>
      <c r="G143" s="10">
        <f>G145</f>
        <v>0</v>
      </c>
    </row>
    <row r="144" spans="1:8" ht="18.75" hidden="1" customHeight="1" x14ac:dyDescent="0.25">
      <c r="A144" s="29" t="s">
        <v>290</v>
      </c>
      <c r="B144" s="40" t="s">
        <v>618</v>
      </c>
      <c r="C144" s="40" t="s">
        <v>280</v>
      </c>
      <c r="D144" s="40" t="s">
        <v>229</v>
      </c>
      <c r="E144" s="40" t="s">
        <v>291</v>
      </c>
      <c r="F144" s="40"/>
      <c r="G144" s="10"/>
    </row>
    <row r="145" spans="1:7" ht="47.25" hidden="1" x14ac:dyDescent="0.25">
      <c r="A145" s="29" t="s">
        <v>419</v>
      </c>
      <c r="B145" s="40" t="s">
        <v>618</v>
      </c>
      <c r="C145" s="40" t="s">
        <v>280</v>
      </c>
      <c r="D145" s="40" t="s">
        <v>229</v>
      </c>
      <c r="E145" s="40"/>
      <c r="F145" s="40" t="s">
        <v>653</v>
      </c>
      <c r="G145" s="10"/>
    </row>
    <row r="146" spans="1:7" ht="78.75" hidden="1" x14ac:dyDescent="0.25">
      <c r="A146" s="25" t="s">
        <v>448</v>
      </c>
      <c r="B146" s="40" t="s">
        <v>449</v>
      </c>
      <c r="C146" s="40" t="s">
        <v>280</v>
      </c>
      <c r="D146" s="40" t="s">
        <v>229</v>
      </c>
      <c r="E146" s="40"/>
      <c r="F146" s="40"/>
      <c r="G146" s="10">
        <f>G147</f>
        <v>0</v>
      </c>
    </row>
    <row r="147" spans="1:7" ht="63" hidden="1" x14ac:dyDescent="0.25">
      <c r="A147" s="29" t="s">
        <v>288</v>
      </c>
      <c r="B147" s="40" t="s">
        <v>449</v>
      </c>
      <c r="C147" s="40" t="s">
        <v>280</v>
      </c>
      <c r="D147" s="40" t="s">
        <v>229</v>
      </c>
      <c r="E147" s="40" t="s">
        <v>289</v>
      </c>
      <c r="F147" s="40"/>
      <c r="G147" s="10">
        <f>G148</f>
        <v>0</v>
      </c>
    </row>
    <row r="148" spans="1:7" ht="15.75" hidden="1" x14ac:dyDescent="0.25">
      <c r="A148" s="29" t="s">
        <v>290</v>
      </c>
      <c r="B148" s="40" t="s">
        <v>449</v>
      </c>
      <c r="C148" s="40" t="s">
        <v>280</v>
      </c>
      <c r="D148" s="40" t="s">
        <v>229</v>
      </c>
      <c r="E148" s="40" t="s">
        <v>291</v>
      </c>
      <c r="F148" s="40"/>
      <c r="G148" s="10"/>
    </row>
    <row r="149" spans="1:7" ht="54.75" hidden="1" customHeight="1" x14ac:dyDescent="0.25">
      <c r="A149" s="29" t="s">
        <v>419</v>
      </c>
      <c r="B149" s="40" t="s">
        <v>449</v>
      </c>
      <c r="C149" s="40" t="s">
        <v>280</v>
      </c>
      <c r="D149" s="40" t="s">
        <v>229</v>
      </c>
      <c r="E149" s="40"/>
      <c r="F149" s="40" t="s">
        <v>653</v>
      </c>
      <c r="G149" s="10">
        <f>G146</f>
        <v>0</v>
      </c>
    </row>
    <row r="150" spans="1:7" ht="31.5" hidden="1" x14ac:dyDescent="0.25">
      <c r="A150" s="25" t="s">
        <v>450</v>
      </c>
      <c r="B150" s="20" t="s">
        <v>451</v>
      </c>
      <c r="C150" s="40" t="s">
        <v>280</v>
      </c>
      <c r="D150" s="40" t="s">
        <v>229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288</v>
      </c>
      <c r="B151" s="20" t="s">
        <v>451</v>
      </c>
      <c r="C151" s="40" t="s">
        <v>280</v>
      </c>
      <c r="D151" s="40" t="s">
        <v>229</v>
      </c>
      <c r="E151" s="40" t="s">
        <v>289</v>
      </c>
      <c r="F151" s="40"/>
      <c r="G151" s="10">
        <f>G152</f>
        <v>0</v>
      </c>
    </row>
    <row r="152" spans="1:7" ht="15.75" hidden="1" x14ac:dyDescent="0.25">
      <c r="A152" s="25" t="s">
        <v>290</v>
      </c>
      <c r="B152" s="20" t="s">
        <v>451</v>
      </c>
      <c r="C152" s="40" t="s">
        <v>280</v>
      </c>
      <c r="D152" s="40" t="s">
        <v>229</v>
      </c>
      <c r="E152" s="40" t="s">
        <v>291</v>
      </c>
      <c r="F152" s="40"/>
      <c r="G152" s="10"/>
    </row>
    <row r="153" spans="1:7" ht="47.25" hidden="1" x14ac:dyDescent="0.25">
      <c r="A153" s="29" t="s">
        <v>419</v>
      </c>
      <c r="B153" s="20" t="s">
        <v>451</v>
      </c>
      <c r="C153" s="40" t="s">
        <v>280</v>
      </c>
      <c r="D153" s="40" t="s">
        <v>229</v>
      </c>
      <c r="E153" s="40"/>
      <c r="F153" s="40" t="s">
        <v>653</v>
      </c>
      <c r="G153" s="10">
        <f>G150</f>
        <v>0</v>
      </c>
    </row>
    <row r="154" spans="1:7" ht="63" hidden="1" x14ac:dyDescent="0.25">
      <c r="A154" s="25" t="s">
        <v>454</v>
      </c>
      <c r="B154" s="20" t="s">
        <v>455</v>
      </c>
      <c r="C154" s="40" t="s">
        <v>280</v>
      </c>
      <c r="D154" s="40" t="s">
        <v>229</v>
      </c>
      <c r="E154" s="40"/>
      <c r="F154" s="40"/>
      <c r="G154" s="10">
        <f>G155</f>
        <v>0</v>
      </c>
    </row>
    <row r="155" spans="1:7" ht="63" hidden="1" x14ac:dyDescent="0.25">
      <c r="A155" s="29" t="s">
        <v>288</v>
      </c>
      <c r="B155" s="20" t="s">
        <v>455</v>
      </c>
      <c r="C155" s="40" t="s">
        <v>280</v>
      </c>
      <c r="D155" s="40" t="s">
        <v>229</v>
      </c>
      <c r="E155" s="40" t="s">
        <v>289</v>
      </c>
      <c r="F155" s="40"/>
      <c r="G155" s="10">
        <f>G156</f>
        <v>0</v>
      </c>
    </row>
    <row r="156" spans="1:7" ht="15.75" hidden="1" x14ac:dyDescent="0.25">
      <c r="A156" s="29" t="s">
        <v>290</v>
      </c>
      <c r="B156" s="20" t="s">
        <v>455</v>
      </c>
      <c r="C156" s="40" t="s">
        <v>280</v>
      </c>
      <c r="D156" s="40" t="s">
        <v>229</v>
      </c>
      <c r="E156" s="40" t="s">
        <v>291</v>
      </c>
      <c r="F156" s="40"/>
      <c r="G156" s="10"/>
    </row>
    <row r="157" spans="1:7" ht="47.25" hidden="1" x14ac:dyDescent="0.25">
      <c r="A157" s="29" t="s">
        <v>419</v>
      </c>
      <c r="B157" s="20" t="s">
        <v>455</v>
      </c>
      <c r="C157" s="40" t="s">
        <v>280</v>
      </c>
      <c r="D157" s="40" t="s">
        <v>229</v>
      </c>
      <c r="E157" s="40"/>
      <c r="F157" s="40" t="s">
        <v>653</v>
      </c>
      <c r="G157" s="10">
        <f>G156</f>
        <v>0</v>
      </c>
    </row>
    <row r="158" spans="1:7" ht="47.25" hidden="1" x14ac:dyDescent="0.25">
      <c r="A158" s="25" t="s">
        <v>620</v>
      </c>
      <c r="B158" s="20" t="s">
        <v>458</v>
      </c>
      <c r="C158" s="40" t="s">
        <v>280</v>
      </c>
      <c r="D158" s="40" t="s">
        <v>229</v>
      </c>
      <c r="E158" s="40"/>
      <c r="F158" s="40"/>
      <c r="G158" s="10">
        <f>G159</f>
        <v>0</v>
      </c>
    </row>
    <row r="159" spans="1:7" ht="63" hidden="1" x14ac:dyDescent="0.25">
      <c r="A159" s="25" t="s">
        <v>288</v>
      </c>
      <c r="B159" s="20" t="s">
        <v>458</v>
      </c>
      <c r="C159" s="40" t="s">
        <v>280</v>
      </c>
      <c r="D159" s="40" t="s">
        <v>229</v>
      </c>
      <c r="E159" s="40" t="s">
        <v>289</v>
      </c>
      <c r="F159" s="40"/>
      <c r="G159" s="10">
        <f>G160</f>
        <v>0</v>
      </c>
    </row>
    <row r="160" spans="1:7" ht="15.75" hidden="1" x14ac:dyDescent="0.25">
      <c r="A160" s="25" t="s">
        <v>290</v>
      </c>
      <c r="B160" s="20" t="s">
        <v>458</v>
      </c>
      <c r="C160" s="40" t="s">
        <v>280</v>
      </c>
      <c r="D160" s="40" t="s">
        <v>229</v>
      </c>
      <c r="E160" s="40" t="s">
        <v>291</v>
      </c>
      <c r="F160" s="40"/>
      <c r="G160" s="10"/>
    </row>
    <row r="161" spans="1:8" ht="47.25" hidden="1" x14ac:dyDescent="0.25">
      <c r="A161" s="29" t="s">
        <v>419</v>
      </c>
      <c r="B161" s="20" t="s">
        <v>458</v>
      </c>
      <c r="C161" s="40" t="s">
        <v>280</v>
      </c>
      <c r="D161" s="40" t="s">
        <v>229</v>
      </c>
      <c r="E161" s="40"/>
      <c r="F161" s="40" t="s">
        <v>653</v>
      </c>
      <c r="G161" s="10">
        <f>G159</f>
        <v>0</v>
      </c>
    </row>
    <row r="162" spans="1:8" ht="15.75" x14ac:dyDescent="0.25">
      <c r="A162" s="29" t="s">
        <v>279</v>
      </c>
      <c r="B162" s="40" t="s">
        <v>447</v>
      </c>
      <c r="C162" s="40" t="s">
        <v>280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441</v>
      </c>
      <c r="B163" s="40" t="s">
        <v>447</v>
      </c>
      <c r="C163" s="40" t="s">
        <v>280</v>
      </c>
      <c r="D163" s="40" t="s">
        <v>229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619</v>
      </c>
      <c r="B164" s="20" t="s">
        <v>453</v>
      </c>
      <c r="C164" s="40" t="s">
        <v>280</v>
      </c>
      <c r="D164" s="40" t="s">
        <v>229</v>
      </c>
      <c r="E164" s="40"/>
      <c r="F164" s="40"/>
      <c r="G164" s="10" t="e">
        <f>G165</f>
        <v>#REF!</v>
      </c>
    </row>
    <row r="165" spans="1:8" ht="63" x14ac:dyDescent="0.25">
      <c r="A165" s="29" t="s">
        <v>288</v>
      </c>
      <c r="B165" s="20" t="s">
        <v>453</v>
      </c>
      <c r="C165" s="40" t="s">
        <v>280</v>
      </c>
      <c r="D165" s="40" t="s">
        <v>229</v>
      </c>
      <c r="E165" s="40" t="s">
        <v>289</v>
      </c>
      <c r="F165" s="40"/>
      <c r="G165" s="10" t="e">
        <f>G166</f>
        <v>#REF!</v>
      </c>
    </row>
    <row r="166" spans="1:8" ht="24" customHeight="1" x14ac:dyDescent="0.25">
      <c r="A166" s="29" t="s">
        <v>290</v>
      </c>
      <c r="B166" s="20" t="s">
        <v>453</v>
      </c>
      <c r="C166" s="40" t="s">
        <v>280</v>
      </c>
      <c r="D166" s="40" t="s">
        <v>229</v>
      </c>
      <c r="E166" s="40" t="s">
        <v>291</v>
      </c>
      <c r="F166" s="40"/>
      <c r="G166" s="6" t="e">
        <f>'Пр.4 ведом.20'!#REF!</f>
        <v>#REF!</v>
      </c>
    </row>
    <row r="167" spans="1:8" ht="63" x14ac:dyDescent="0.25">
      <c r="A167" s="25" t="s">
        <v>454</v>
      </c>
      <c r="B167" s="20" t="s">
        <v>455</v>
      </c>
      <c r="C167" s="40" t="s">
        <v>280</v>
      </c>
      <c r="D167" s="40" t="s">
        <v>229</v>
      </c>
      <c r="E167" s="40"/>
      <c r="F167" s="40"/>
      <c r="G167" s="6" t="e">
        <f>G168</f>
        <v>#REF!</v>
      </c>
    </row>
    <row r="168" spans="1:8" ht="63" x14ac:dyDescent="0.25">
      <c r="A168" s="25" t="s">
        <v>288</v>
      </c>
      <c r="B168" s="20" t="s">
        <v>455</v>
      </c>
      <c r="C168" s="40" t="s">
        <v>280</v>
      </c>
      <c r="D168" s="40" t="s">
        <v>229</v>
      </c>
      <c r="E168" s="40" t="s">
        <v>289</v>
      </c>
      <c r="F168" s="40"/>
      <c r="G168" s="6" t="e">
        <f>G169</f>
        <v>#REF!</v>
      </c>
    </row>
    <row r="169" spans="1:8" ht="15.75" x14ac:dyDescent="0.25">
      <c r="A169" s="25" t="s">
        <v>290</v>
      </c>
      <c r="B169" s="20" t="s">
        <v>455</v>
      </c>
      <c r="C169" s="40" t="s">
        <v>280</v>
      </c>
      <c r="D169" s="40" t="s">
        <v>229</v>
      </c>
      <c r="E169" s="40" t="s">
        <v>291</v>
      </c>
      <c r="F169" s="40"/>
      <c r="G169" s="6" t="e">
        <f>'Пр.4 ведом.20'!#REF!</f>
        <v>#REF!</v>
      </c>
    </row>
    <row r="170" spans="1:8" ht="47.25" x14ac:dyDescent="0.25">
      <c r="A170" s="25" t="s">
        <v>294</v>
      </c>
      <c r="B170" s="40" t="s">
        <v>458</v>
      </c>
      <c r="C170" s="40" t="s">
        <v>280</v>
      </c>
      <c r="D170" s="40" t="s">
        <v>229</v>
      </c>
      <c r="E170" s="40"/>
      <c r="F170" s="40"/>
      <c r="G170" s="6" t="e">
        <f>G171</f>
        <v>#REF!</v>
      </c>
    </row>
    <row r="171" spans="1:8" ht="63" x14ac:dyDescent="0.25">
      <c r="A171" s="25" t="s">
        <v>288</v>
      </c>
      <c r="B171" s="40" t="s">
        <v>458</v>
      </c>
      <c r="C171" s="40" t="s">
        <v>280</v>
      </c>
      <c r="D171" s="40" t="s">
        <v>229</v>
      </c>
      <c r="E171" s="40" t="s">
        <v>289</v>
      </c>
      <c r="F171" s="40"/>
      <c r="G171" s="6" t="e">
        <f>G172</f>
        <v>#REF!</v>
      </c>
    </row>
    <row r="172" spans="1:8" ht="15.75" x14ac:dyDescent="0.25">
      <c r="A172" s="25" t="s">
        <v>290</v>
      </c>
      <c r="B172" s="40" t="s">
        <v>458</v>
      </c>
      <c r="C172" s="40" t="s">
        <v>280</v>
      </c>
      <c r="D172" s="40" t="s">
        <v>229</v>
      </c>
      <c r="E172" s="40" t="s">
        <v>291</v>
      </c>
      <c r="F172" s="40"/>
      <c r="G172" s="6" t="e">
        <f>'Пр.4 ведом.20'!#REF!</f>
        <v>#REF!</v>
      </c>
      <c r="H172" s="113"/>
    </row>
    <row r="173" spans="1:8" ht="47.25" x14ac:dyDescent="0.25">
      <c r="A173" s="29" t="s">
        <v>298</v>
      </c>
      <c r="B173" s="40" t="s">
        <v>460</v>
      </c>
      <c r="C173" s="40" t="s">
        <v>280</v>
      </c>
      <c r="D173" s="40" t="s">
        <v>229</v>
      </c>
      <c r="E173" s="40"/>
      <c r="F173" s="40"/>
      <c r="G173" s="10" t="e">
        <f>G174</f>
        <v>#REF!</v>
      </c>
    </row>
    <row r="174" spans="1:8" ht="63" x14ac:dyDescent="0.25">
      <c r="A174" s="29" t="s">
        <v>288</v>
      </c>
      <c r="B174" s="40" t="s">
        <v>460</v>
      </c>
      <c r="C174" s="40" t="s">
        <v>280</v>
      </c>
      <c r="D174" s="40" t="s">
        <v>229</v>
      </c>
      <c r="E174" s="40" t="s">
        <v>289</v>
      </c>
      <c r="F174" s="40"/>
      <c r="G174" s="10" t="e">
        <f>G175</f>
        <v>#REF!</v>
      </c>
    </row>
    <row r="175" spans="1:8" ht="26.45" customHeight="1" x14ac:dyDescent="0.25">
      <c r="A175" s="29" t="s">
        <v>290</v>
      </c>
      <c r="B175" s="40" t="s">
        <v>460</v>
      </c>
      <c r="C175" s="40" t="s">
        <v>280</v>
      </c>
      <c r="D175" s="40" t="s">
        <v>229</v>
      </c>
      <c r="E175" s="40" t="s">
        <v>291</v>
      </c>
      <c r="F175" s="40"/>
      <c r="G175" s="10" t="e">
        <f>'Пр.4 ведом.20'!#REF!</f>
        <v>#REF!</v>
      </c>
    </row>
    <row r="176" spans="1:8" ht="31.5" x14ac:dyDescent="0.25">
      <c r="A176" s="29" t="s">
        <v>300</v>
      </c>
      <c r="B176" s="40" t="s">
        <v>461</v>
      </c>
      <c r="C176" s="40" t="s">
        <v>280</v>
      </c>
      <c r="D176" s="40" t="s">
        <v>229</v>
      </c>
      <c r="E176" s="40"/>
      <c r="F176" s="40"/>
      <c r="G176" s="10" t="e">
        <f>G177</f>
        <v>#REF!</v>
      </c>
    </row>
    <row r="177" spans="1:7" ht="63" x14ac:dyDescent="0.25">
      <c r="A177" s="29" t="s">
        <v>288</v>
      </c>
      <c r="B177" s="40" t="s">
        <v>461</v>
      </c>
      <c r="C177" s="40" t="s">
        <v>280</v>
      </c>
      <c r="D177" s="40" t="s">
        <v>229</v>
      </c>
      <c r="E177" s="40" t="s">
        <v>289</v>
      </c>
      <c r="F177" s="40"/>
      <c r="G177" s="10" t="e">
        <f>G178</f>
        <v>#REF!</v>
      </c>
    </row>
    <row r="178" spans="1:7" ht="26.45" customHeight="1" x14ac:dyDescent="0.25">
      <c r="A178" s="29" t="s">
        <v>290</v>
      </c>
      <c r="B178" s="40" t="s">
        <v>461</v>
      </c>
      <c r="C178" s="40" t="s">
        <v>280</v>
      </c>
      <c r="D178" s="40" t="s">
        <v>229</v>
      </c>
      <c r="E178" s="40" t="s">
        <v>291</v>
      </c>
      <c r="F178" s="40"/>
      <c r="G178" s="10" t="e">
        <f>'Пр.4 ведом.20'!#REF!</f>
        <v>#REF!</v>
      </c>
    </row>
    <row r="179" spans="1:7" ht="47.25" x14ac:dyDescent="0.25">
      <c r="A179" s="29" t="s">
        <v>419</v>
      </c>
      <c r="B179" s="40" t="s">
        <v>447</v>
      </c>
      <c r="C179" s="40" t="s">
        <v>280</v>
      </c>
      <c r="D179" s="40" t="s">
        <v>229</v>
      </c>
      <c r="E179" s="40"/>
      <c r="F179" s="40" t="s">
        <v>653</v>
      </c>
      <c r="G179" s="10" t="e">
        <f>G141</f>
        <v>#REF!</v>
      </c>
    </row>
    <row r="180" spans="1:7" ht="31.5" hidden="1" x14ac:dyDescent="0.25">
      <c r="A180" s="29" t="s">
        <v>300</v>
      </c>
      <c r="B180" s="40" t="s">
        <v>621</v>
      </c>
      <c r="C180" s="40" t="s">
        <v>280</v>
      </c>
      <c r="D180" s="40" t="s">
        <v>229</v>
      </c>
      <c r="E180" s="40"/>
      <c r="F180" s="40"/>
      <c r="G180" s="10">
        <f>G181</f>
        <v>0</v>
      </c>
    </row>
    <row r="181" spans="1:7" ht="63" hidden="1" x14ac:dyDescent="0.25">
      <c r="A181" s="29" t="s">
        <v>288</v>
      </c>
      <c r="B181" s="40" t="s">
        <v>621</v>
      </c>
      <c r="C181" s="40" t="s">
        <v>280</v>
      </c>
      <c r="D181" s="40" t="s">
        <v>229</v>
      </c>
      <c r="E181" s="40" t="s">
        <v>289</v>
      </c>
      <c r="F181" s="40"/>
      <c r="G181" s="10">
        <f>G182</f>
        <v>0</v>
      </c>
    </row>
    <row r="182" spans="1:7" ht="15.75" hidden="1" x14ac:dyDescent="0.25">
      <c r="A182" s="29" t="s">
        <v>290</v>
      </c>
      <c r="B182" s="40" t="s">
        <v>621</v>
      </c>
      <c r="C182" s="40" t="s">
        <v>280</v>
      </c>
      <c r="D182" s="40" t="s">
        <v>229</v>
      </c>
      <c r="E182" s="40" t="s">
        <v>291</v>
      </c>
      <c r="F182" s="40"/>
      <c r="G182" s="10"/>
    </row>
    <row r="183" spans="1:7" ht="47.25" hidden="1" x14ac:dyDescent="0.25">
      <c r="A183" s="29" t="s">
        <v>419</v>
      </c>
      <c r="B183" s="40" t="s">
        <v>621</v>
      </c>
      <c r="C183" s="40" t="s">
        <v>280</v>
      </c>
      <c r="D183" s="40" t="s">
        <v>229</v>
      </c>
      <c r="E183" s="40"/>
      <c r="F183" s="40" t="s">
        <v>653</v>
      </c>
      <c r="G183" s="10">
        <v>0</v>
      </c>
    </row>
    <row r="184" spans="1:7" ht="47.25" hidden="1" x14ac:dyDescent="0.25">
      <c r="A184" s="29" t="s">
        <v>654</v>
      </c>
      <c r="B184" s="40" t="s">
        <v>622</v>
      </c>
      <c r="C184" s="40" t="s">
        <v>280</v>
      </c>
      <c r="D184" s="40" t="s">
        <v>229</v>
      </c>
      <c r="E184" s="40"/>
      <c r="F184" s="40"/>
      <c r="G184" s="10">
        <f>G185</f>
        <v>0</v>
      </c>
    </row>
    <row r="185" spans="1:7" ht="63" hidden="1" x14ac:dyDescent="0.25">
      <c r="A185" s="29" t="s">
        <v>288</v>
      </c>
      <c r="B185" s="40" t="s">
        <v>622</v>
      </c>
      <c r="C185" s="40" t="s">
        <v>280</v>
      </c>
      <c r="D185" s="40" t="s">
        <v>229</v>
      </c>
      <c r="E185" s="40" t="s">
        <v>289</v>
      </c>
      <c r="F185" s="40"/>
      <c r="G185" s="10">
        <f>G186</f>
        <v>0</v>
      </c>
    </row>
    <row r="186" spans="1:7" ht="15.75" hidden="1" x14ac:dyDescent="0.25">
      <c r="A186" s="29" t="s">
        <v>290</v>
      </c>
      <c r="B186" s="40" t="s">
        <v>622</v>
      </c>
      <c r="C186" s="40" t="s">
        <v>280</v>
      </c>
      <c r="D186" s="40" t="s">
        <v>229</v>
      </c>
      <c r="E186" s="40" t="s">
        <v>291</v>
      </c>
      <c r="F186" s="40"/>
      <c r="G186" s="10"/>
    </row>
    <row r="187" spans="1:7" ht="47.25" hidden="1" x14ac:dyDescent="0.25">
      <c r="A187" s="29" t="s">
        <v>419</v>
      </c>
      <c r="B187" s="40" t="s">
        <v>622</v>
      </c>
      <c r="C187" s="40" t="s">
        <v>280</v>
      </c>
      <c r="D187" s="40" t="s">
        <v>229</v>
      </c>
      <c r="E187" s="40"/>
      <c r="F187" s="40" t="s">
        <v>653</v>
      </c>
      <c r="G187" s="10">
        <v>0</v>
      </c>
    </row>
    <row r="188" spans="1:7" ht="45.75" customHeight="1" x14ac:dyDescent="0.25">
      <c r="A188" s="41" t="s">
        <v>462</v>
      </c>
      <c r="B188" s="7" t="s">
        <v>463</v>
      </c>
      <c r="C188" s="7"/>
      <c r="D188" s="7"/>
      <c r="E188" s="7"/>
      <c r="F188" s="7"/>
      <c r="G188" s="59" t="e">
        <f>G189</f>
        <v>#REF!</v>
      </c>
    </row>
    <row r="189" spans="1:7" ht="21.2" customHeight="1" x14ac:dyDescent="0.25">
      <c r="A189" s="29" t="s">
        <v>279</v>
      </c>
      <c r="B189" s="40" t="s">
        <v>463</v>
      </c>
      <c r="C189" s="40" t="s">
        <v>280</v>
      </c>
      <c r="D189" s="40"/>
      <c r="E189" s="40"/>
      <c r="F189" s="40"/>
      <c r="G189" s="10" t="e">
        <f>G190</f>
        <v>#REF!</v>
      </c>
    </row>
    <row r="190" spans="1:7" ht="22.7" customHeight="1" x14ac:dyDescent="0.25">
      <c r="A190" s="29" t="s">
        <v>281</v>
      </c>
      <c r="B190" s="40" t="s">
        <v>463</v>
      </c>
      <c r="C190" s="40" t="s">
        <v>280</v>
      </c>
      <c r="D190" s="40" t="s">
        <v>231</v>
      </c>
      <c r="E190" s="40"/>
      <c r="F190" s="40"/>
      <c r="G190" s="10" t="e">
        <f>G191</f>
        <v>#REF!</v>
      </c>
    </row>
    <row r="191" spans="1:7" ht="31.5" x14ac:dyDescent="0.25">
      <c r="A191" s="45" t="s">
        <v>722</v>
      </c>
      <c r="B191" s="20" t="s">
        <v>723</v>
      </c>
      <c r="C191" s="40" t="s">
        <v>280</v>
      </c>
      <c r="D191" s="40" t="s">
        <v>231</v>
      </c>
      <c r="E191" s="40"/>
      <c r="F191" s="40"/>
      <c r="G191" s="10" t="e">
        <f>G192</f>
        <v>#REF!</v>
      </c>
    </row>
    <row r="192" spans="1:7" ht="63" x14ac:dyDescent="0.25">
      <c r="A192" s="29" t="s">
        <v>288</v>
      </c>
      <c r="B192" s="20" t="s">
        <v>723</v>
      </c>
      <c r="C192" s="40" t="s">
        <v>280</v>
      </c>
      <c r="D192" s="40" t="s">
        <v>231</v>
      </c>
      <c r="E192" s="40" t="s">
        <v>289</v>
      </c>
      <c r="F192" s="40"/>
      <c r="G192" s="10" t="e">
        <f>G193</f>
        <v>#REF!</v>
      </c>
    </row>
    <row r="193" spans="1:8" ht="15.75" x14ac:dyDescent="0.25">
      <c r="A193" s="29" t="s">
        <v>290</v>
      </c>
      <c r="B193" s="20" t="s">
        <v>723</v>
      </c>
      <c r="C193" s="40" t="s">
        <v>280</v>
      </c>
      <c r="D193" s="40" t="s">
        <v>231</v>
      </c>
      <c r="E193" s="40" t="s">
        <v>291</v>
      </c>
      <c r="F193" s="40"/>
      <c r="G193" s="10" t="e">
        <f>'Пр.4 ведом.20'!#REF!</f>
        <v>#REF!</v>
      </c>
      <c r="H193" s="113"/>
    </row>
    <row r="194" spans="1:8" ht="47.25" x14ac:dyDescent="0.25">
      <c r="A194" s="29" t="s">
        <v>419</v>
      </c>
      <c r="B194" s="20" t="s">
        <v>723</v>
      </c>
      <c r="C194" s="40" t="s">
        <v>280</v>
      </c>
      <c r="D194" s="40" t="s">
        <v>231</v>
      </c>
      <c r="E194" s="40"/>
      <c r="F194" s="40" t="s">
        <v>653</v>
      </c>
      <c r="G194" s="10" t="e">
        <f>G189</f>
        <v>#REF!</v>
      </c>
    </row>
    <row r="195" spans="1:8" ht="47.25" hidden="1" x14ac:dyDescent="0.25">
      <c r="A195" s="29" t="s">
        <v>655</v>
      </c>
      <c r="B195" s="40" t="s">
        <v>623</v>
      </c>
      <c r="C195" s="40" t="s">
        <v>280</v>
      </c>
      <c r="D195" s="40" t="s">
        <v>229</v>
      </c>
      <c r="E195" s="40"/>
      <c r="F195" s="40"/>
      <c r="G195" s="10">
        <f>G199</f>
        <v>0</v>
      </c>
    </row>
    <row r="196" spans="1:8" ht="63" hidden="1" x14ac:dyDescent="0.25">
      <c r="A196" s="29" t="s">
        <v>288</v>
      </c>
      <c r="B196" s="40" t="s">
        <v>623</v>
      </c>
      <c r="C196" s="40" t="s">
        <v>484</v>
      </c>
      <c r="D196" s="40" t="s">
        <v>656</v>
      </c>
      <c r="E196" s="40" t="s">
        <v>289</v>
      </c>
      <c r="F196" s="40"/>
      <c r="G196" s="10">
        <f>G197</f>
        <v>0</v>
      </c>
    </row>
    <row r="197" spans="1:8" ht="15.75" hidden="1" x14ac:dyDescent="0.25">
      <c r="A197" s="29" t="s">
        <v>290</v>
      </c>
      <c r="B197" s="40" t="s">
        <v>623</v>
      </c>
      <c r="C197" s="40" t="s">
        <v>484</v>
      </c>
      <c r="D197" s="40" t="s">
        <v>656</v>
      </c>
      <c r="E197" s="40" t="s">
        <v>291</v>
      </c>
      <c r="F197" s="40"/>
      <c r="G197" s="10">
        <f>G198</f>
        <v>0</v>
      </c>
    </row>
    <row r="198" spans="1:8" ht="31.5" hidden="1" x14ac:dyDescent="0.25">
      <c r="A198" s="29" t="s">
        <v>615</v>
      </c>
      <c r="B198" s="40" t="s">
        <v>623</v>
      </c>
      <c r="C198" s="40" t="s">
        <v>484</v>
      </c>
      <c r="D198" s="40" t="s">
        <v>656</v>
      </c>
      <c r="E198" s="40" t="s">
        <v>616</v>
      </c>
      <c r="F198" s="40"/>
      <c r="G198" s="10">
        <f>G199</f>
        <v>0</v>
      </c>
    </row>
    <row r="199" spans="1:8" ht="47.25" hidden="1" x14ac:dyDescent="0.25">
      <c r="A199" s="29" t="s">
        <v>419</v>
      </c>
      <c r="B199" s="40" t="s">
        <v>623</v>
      </c>
      <c r="C199" s="40" t="s">
        <v>280</v>
      </c>
      <c r="D199" s="40" t="s">
        <v>229</v>
      </c>
      <c r="E199" s="40"/>
      <c r="F199" s="40" t="s">
        <v>653</v>
      </c>
      <c r="G199" s="10"/>
    </row>
    <row r="200" spans="1:8" ht="47.25" hidden="1" x14ac:dyDescent="0.25">
      <c r="A200" s="29" t="s">
        <v>657</v>
      </c>
      <c r="B200" s="20" t="s">
        <v>464</v>
      </c>
      <c r="C200" s="40" t="s">
        <v>280</v>
      </c>
      <c r="D200" s="40" t="s">
        <v>229</v>
      </c>
      <c r="E200" s="40"/>
      <c r="F200" s="40"/>
      <c r="G200" s="10">
        <f>G201</f>
        <v>0</v>
      </c>
    </row>
    <row r="201" spans="1:8" ht="31.5" hidden="1" x14ac:dyDescent="0.25">
      <c r="A201" s="29" t="s">
        <v>296</v>
      </c>
      <c r="B201" s="20" t="s">
        <v>464</v>
      </c>
      <c r="C201" s="40" t="s">
        <v>280</v>
      </c>
      <c r="D201" s="40" t="s">
        <v>229</v>
      </c>
      <c r="E201" s="40" t="s">
        <v>289</v>
      </c>
      <c r="F201" s="40"/>
      <c r="G201" s="10">
        <f>G202</f>
        <v>0</v>
      </c>
    </row>
    <row r="202" spans="1:8" ht="15.75" hidden="1" x14ac:dyDescent="0.25">
      <c r="A202" s="29" t="s">
        <v>290</v>
      </c>
      <c r="B202" s="20" t="s">
        <v>464</v>
      </c>
      <c r="C202" s="40" t="s">
        <v>280</v>
      </c>
      <c r="D202" s="40" t="s">
        <v>229</v>
      </c>
      <c r="E202" s="40" t="s">
        <v>291</v>
      </c>
      <c r="F202" s="40"/>
      <c r="G202" s="10"/>
    </row>
    <row r="203" spans="1:8" ht="31.5" hidden="1" x14ac:dyDescent="0.25">
      <c r="A203" s="29" t="s">
        <v>615</v>
      </c>
      <c r="B203" s="20" t="s">
        <v>464</v>
      </c>
      <c r="C203" s="40" t="s">
        <v>280</v>
      </c>
      <c r="D203" s="40" t="s">
        <v>229</v>
      </c>
      <c r="E203" s="40" t="s">
        <v>616</v>
      </c>
      <c r="F203" s="40"/>
      <c r="G203" s="10"/>
    </row>
    <row r="204" spans="1:8" ht="47.25" hidden="1" x14ac:dyDescent="0.25">
      <c r="A204" s="29" t="s">
        <v>419</v>
      </c>
      <c r="B204" s="20" t="s">
        <v>464</v>
      </c>
      <c r="C204" s="40" t="s">
        <v>280</v>
      </c>
      <c r="D204" s="40" t="s">
        <v>229</v>
      </c>
      <c r="E204" s="40"/>
      <c r="F204" s="40" t="s">
        <v>653</v>
      </c>
      <c r="G204" s="6">
        <f>G200</f>
        <v>0</v>
      </c>
    </row>
    <row r="205" spans="1:8" ht="47.25" hidden="1" x14ac:dyDescent="0.25">
      <c r="A205" s="29" t="s">
        <v>620</v>
      </c>
      <c r="B205" s="40" t="s">
        <v>465</v>
      </c>
      <c r="C205" s="40" t="s">
        <v>280</v>
      </c>
      <c r="D205" s="40" t="s">
        <v>229</v>
      </c>
      <c r="E205" s="40"/>
      <c r="F205" s="40"/>
      <c r="G205" s="10">
        <f>G206</f>
        <v>0</v>
      </c>
    </row>
    <row r="206" spans="1:8" ht="63" hidden="1" x14ac:dyDescent="0.25">
      <c r="A206" s="29" t="s">
        <v>288</v>
      </c>
      <c r="B206" s="40" t="s">
        <v>465</v>
      </c>
      <c r="C206" s="40" t="s">
        <v>280</v>
      </c>
      <c r="D206" s="40" t="s">
        <v>229</v>
      </c>
      <c r="E206" s="40" t="s">
        <v>289</v>
      </c>
      <c r="F206" s="40"/>
      <c r="G206" s="10">
        <f>G207</f>
        <v>0</v>
      </c>
    </row>
    <row r="207" spans="1:8" ht="15.75" hidden="1" x14ac:dyDescent="0.25">
      <c r="A207" s="29" t="s">
        <v>290</v>
      </c>
      <c r="B207" s="40" t="s">
        <v>465</v>
      </c>
      <c r="C207" s="40" t="s">
        <v>280</v>
      </c>
      <c r="D207" s="40" t="s">
        <v>229</v>
      </c>
      <c r="E207" s="40" t="s">
        <v>291</v>
      </c>
      <c r="F207" s="40" t="s">
        <v>653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483</v>
      </c>
      <c r="B210" s="7" t="s">
        <v>485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279</v>
      </c>
      <c r="B211" s="40" t="s">
        <v>485</v>
      </c>
      <c r="C211" s="40" t="s">
        <v>280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482</v>
      </c>
      <c r="B212" s="40" t="s">
        <v>485</v>
      </c>
      <c r="C212" s="40" t="s">
        <v>280</v>
      </c>
      <c r="D212" s="40" t="s">
        <v>280</v>
      </c>
      <c r="E212" s="40"/>
      <c r="F212" s="40"/>
      <c r="G212" s="10" t="e">
        <f>G213</f>
        <v>#REF!</v>
      </c>
    </row>
    <row r="213" spans="1:7" ht="47.25" x14ac:dyDescent="0.25">
      <c r="A213" s="25" t="s">
        <v>626</v>
      </c>
      <c r="B213" s="20" t="s">
        <v>487</v>
      </c>
      <c r="C213" s="40" t="s">
        <v>280</v>
      </c>
      <c r="D213" s="40" t="s">
        <v>280</v>
      </c>
      <c r="E213" s="40"/>
      <c r="F213" s="40"/>
      <c r="G213" s="10" t="e">
        <f>G214</f>
        <v>#REF!</v>
      </c>
    </row>
    <row r="214" spans="1:7" ht="63" x14ac:dyDescent="0.25">
      <c r="A214" s="29" t="s">
        <v>288</v>
      </c>
      <c r="B214" s="20" t="s">
        <v>487</v>
      </c>
      <c r="C214" s="40" t="s">
        <v>280</v>
      </c>
      <c r="D214" s="40" t="s">
        <v>280</v>
      </c>
      <c r="E214" s="40" t="s">
        <v>289</v>
      </c>
      <c r="F214" s="40"/>
      <c r="G214" s="10" t="e">
        <f>G215</f>
        <v>#REF!</v>
      </c>
    </row>
    <row r="215" spans="1:7" ht="15.75" x14ac:dyDescent="0.25">
      <c r="A215" s="29" t="s">
        <v>290</v>
      </c>
      <c r="B215" s="20" t="s">
        <v>487</v>
      </c>
      <c r="C215" s="40" t="s">
        <v>280</v>
      </c>
      <c r="D215" s="40" t="s">
        <v>280</v>
      </c>
      <c r="E215" s="40" t="s">
        <v>291</v>
      </c>
      <c r="F215" s="40"/>
      <c r="G215" s="10" t="e">
        <f>'Пр.4 ведом.20'!#REF!</f>
        <v>#REF!</v>
      </c>
    </row>
    <row r="216" spans="1:7" ht="47.25" x14ac:dyDescent="0.25">
      <c r="A216" s="29" t="s">
        <v>419</v>
      </c>
      <c r="B216" s="20" t="s">
        <v>485</v>
      </c>
      <c r="C216" s="40" t="s">
        <v>280</v>
      </c>
      <c r="D216" s="40" t="s">
        <v>280</v>
      </c>
      <c r="E216" s="40"/>
      <c r="F216" s="40" t="s">
        <v>653</v>
      </c>
      <c r="G216" s="10" t="e">
        <f>G210</f>
        <v>#REF!</v>
      </c>
    </row>
    <row r="217" spans="1:7" ht="78.75" x14ac:dyDescent="0.25">
      <c r="A217" s="58" t="s">
        <v>171</v>
      </c>
      <c r="B217" s="176" t="s">
        <v>172</v>
      </c>
      <c r="C217" s="7"/>
      <c r="D217" s="176"/>
      <c r="E217" s="176"/>
      <c r="F217" s="176"/>
      <c r="G217" s="59" t="e">
        <f>G220</f>
        <v>#REF!</v>
      </c>
    </row>
    <row r="218" spans="1:7" ht="15.75" x14ac:dyDescent="0.25">
      <c r="A218" s="45" t="s">
        <v>133</v>
      </c>
      <c r="B218" s="5" t="s">
        <v>172</v>
      </c>
      <c r="C218" s="40" t="s">
        <v>134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155</v>
      </c>
      <c r="B219" s="66" t="s">
        <v>172</v>
      </c>
      <c r="C219" s="40" t="s">
        <v>134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173</v>
      </c>
      <c r="B220" s="66" t="s">
        <v>174</v>
      </c>
      <c r="C220" s="40" t="s">
        <v>134</v>
      </c>
      <c r="D220" s="40" t="s">
        <v>156</v>
      </c>
      <c r="E220" s="40"/>
      <c r="F220" s="40"/>
      <c r="G220" s="10" t="e">
        <f>G221</f>
        <v>#REF!</v>
      </c>
    </row>
    <row r="221" spans="1:7" ht="47.25" x14ac:dyDescent="0.25">
      <c r="A221" s="29" t="s">
        <v>147</v>
      </c>
      <c r="B221" s="66" t="s">
        <v>174</v>
      </c>
      <c r="C221" s="40" t="s">
        <v>134</v>
      </c>
      <c r="D221" s="40" t="s">
        <v>156</v>
      </c>
      <c r="E221" s="40" t="s">
        <v>161</v>
      </c>
      <c r="F221" s="40"/>
      <c r="G221" s="10" t="e">
        <f>G222</f>
        <v>#REF!</v>
      </c>
    </row>
    <row r="222" spans="1:7" ht="78.75" x14ac:dyDescent="0.25">
      <c r="A222" s="29" t="s">
        <v>200</v>
      </c>
      <c r="B222" s="66" t="s">
        <v>174</v>
      </c>
      <c r="C222" s="40" t="s">
        <v>134</v>
      </c>
      <c r="D222" s="40" t="s">
        <v>156</v>
      </c>
      <c r="E222" s="40" t="s">
        <v>176</v>
      </c>
      <c r="F222" s="40"/>
      <c r="G222" s="10" t="e">
        <f>'Пр.4 ведом.20'!#REF!</f>
        <v>#REF!</v>
      </c>
    </row>
    <row r="223" spans="1:7" ht="31.5" x14ac:dyDescent="0.25">
      <c r="A223" s="29" t="s">
        <v>164</v>
      </c>
      <c r="B223" s="66" t="s">
        <v>172</v>
      </c>
      <c r="C223" s="40" t="s">
        <v>134</v>
      </c>
      <c r="D223" s="40" t="s">
        <v>156</v>
      </c>
      <c r="E223" s="40"/>
      <c r="F223" s="40" t="s">
        <v>658</v>
      </c>
      <c r="G223" s="10" t="e">
        <f>G217</f>
        <v>#REF!</v>
      </c>
    </row>
    <row r="224" spans="1:7" ht="73.5" customHeight="1" x14ac:dyDescent="0.25">
      <c r="A224" s="41" t="s">
        <v>177</v>
      </c>
      <c r="B224" s="176" t="s">
        <v>178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133</v>
      </c>
      <c r="B225" s="5" t="s">
        <v>178</v>
      </c>
      <c r="C225" s="40" t="s">
        <v>134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155</v>
      </c>
      <c r="B226" s="66" t="s">
        <v>178</v>
      </c>
      <c r="C226" s="40" t="s">
        <v>134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179</v>
      </c>
      <c r="B227" s="40" t="s">
        <v>180</v>
      </c>
      <c r="C227" s="40" t="s">
        <v>134</v>
      </c>
      <c r="D227" s="40" t="s">
        <v>156</v>
      </c>
      <c r="E227" s="40"/>
      <c r="F227" s="40"/>
      <c r="G227" s="10" t="e">
        <f>G228</f>
        <v>#REF!</v>
      </c>
    </row>
    <row r="228" spans="1:7" ht="47.25" x14ac:dyDescent="0.25">
      <c r="A228" s="29" t="s">
        <v>147</v>
      </c>
      <c r="B228" s="40" t="s">
        <v>180</v>
      </c>
      <c r="C228" s="40" t="s">
        <v>134</v>
      </c>
      <c r="D228" s="40" t="s">
        <v>156</v>
      </c>
      <c r="E228" s="40" t="s">
        <v>148</v>
      </c>
      <c r="F228" s="40"/>
      <c r="G228" s="10" t="e">
        <f>G229</f>
        <v>#REF!</v>
      </c>
    </row>
    <row r="229" spans="1:7" ht="47.25" x14ac:dyDescent="0.25">
      <c r="A229" s="29" t="s">
        <v>149</v>
      </c>
      <c r="B229" s="40" t="s">
        <v>180</v>
      </c>
      <c r="C229" s="40" t="s">
        <v>134</v>
      </c>
      <c r="D229" s="40" t="s">
        <v>156</v>
      </c>
      <c r="E229" s="40" t="s">
        <v>150</v>
      </c>
      <c r="F229" s="40"/>
      <c r="G229" s="10" t="e">
        <f>'Пр.4 ведом.20'!#REF!</f>
        <v>#REF!</v>
      </c>
    </row>
    <row r="230" spans="1:7" ht="78.75" x14ac:dyDescent="0.25">
      <c r="A230" s="98" t="s">
        <v>181</v>
      </c>
      <c r="B230" s="40" t="s">
        <v>182</v>
      </c>
      <c r="C230" s="40" t="s">
        <v>134</v>
      </c>
      <c r="D230" s="40" t="s">
        <v>156</v>
      </c>
      <c r="E230" s="40"/>
      <c r="F230" s="40"/>
      <c r="G230" s="10" t="e">
        <f>G231+G233</f>
        <v>#REF!</v>
      </c>
    </row>
    <row r="231" spans="1:7" ht="110.25" x14ac:dyDescent="0.25">
      <c r="A231" s="29" t="s">
        <v>143</v>
      </c>
      <c r="B231" s="40" t="s">
        <v>182</v>
      </c>
      <c r="C231" s="40" t="s">
        <v>134</v>
      </c>
      <c r="D231" s="40" t="s">
        <v>156</v>
      </c>
      <c r="E231" s="40" t="s">
        <v>144</v>
      </c>
      <c r="F231" s="40"/>
      <c r="G231" s="10" t="e">
        <f>G232</f>
        <v>#REF!</v>
      </c>
    </row>
    <row r="232" spans="1:7" ht="47.25" x14ac:dyDescent="0.25">
      <c r="A232" s="29" t="s">
        <v>145</v>
      </c>
      <c r="B232" s="40" t="s">
        <v>182</v>
      </c>
      <c r="C232" s="40" t="s">
        <v>134</v>
      </c>
      <c r="D232" s="40" t="s">
        <v>156</v>
      </c>
      <c r="E232" s="40" t="s">
        <v>146</v>
      </c>
      <c r="F232" s="40"/>
      <c r="G232" s="10" t="e">
        <f>'Пр.4 ведом.20'!#REF!</f>
        <v>#REF!</v>
      </c>
    </row>
    <row r="233" spans="1:7" ht="47.25" x14ac:dyDescent="0.25">
      <c r="A233" s="29" t="s">
        <v>147</v>
      </c>
      <c r="B233" s="40" t="s">
        <v>182</v>
      </c>
      <c r="C233" s="40" t="s">
        <v>134</v>
      </c>
      <c r="D233" s="40" t="s">
        <v>156</v>
      </c>
      <c r="E233" s="40" t="s">
        <v>148</v>
      </c>
      <c r="F233" s="40"/>
      <c r="G233" s="10" t="e">
        <f>G234</f>
        <v>#REF!</v>
      </c>
    </row>
    <row r="234" spans="1:7" ht="47.25" x14ac:dyDescent="0.25">
      <c r="A234" s="29" t="s">
        <v>149</v>
      </c>
      <c r="B234" s="40" t="s">
        <v>182</v>
      </c>
      <c r="C234" s="40" t="s">
        <v>134</v>
      </c>
      <c r="D234" s="40" t="s">
        <v>156</v>
      </c>
      <c r="E234" s="40" t="s">
        <v>150</v>
      </c>
      <c r="F234" s="40"/>
      <c r="G234" s="10" t="e">
        <f>'Пр.4 ведом.20'!#REF!</f>
        <v>#REF!</v>
      </c>
    </row>
    <row r="235" spans="1:7" ht="63" x14ac:dyDescent="0.25">
      <c r="A235" s="31" t="s">
        <v>712</v>
      </c>
      <c r="B235" s="40" t="s">
        <v>713</v>
      </c>
      <c r="C235" s="40" t="s">
        <v>134</v>
      </c>
      <c r="D235" s="40" t="s">
        <v>156</v>
      </c>
      <c r="E235" s="40"/>
      <c r="F235" s="40"/>
      <c r="G235" s="10" t="e">
        <f>G236</f>
        <v>#REF!</v>
      </c>
    </row>
    <row r="236" spans="1:7" ht="47.25" x14ac:dyDescent="0.25">
      <c r="A236" s="25" t="s">
        <v>147</v>
      </c>
      <c r="B236" s="40" t="s">
        <v>713</v>
      </c>
      <c r="C236" s="40" t="s">
        <v>134</v>
      </c>
      <c r="D236" s="40" t="s">
        <v>156</v>
      </c>
      <c r="E236" s="40" t="s">
        <v>148</v>
      </c>
      <c r="F236" s="40"/>
      <c r="G236" s="10" t="e">
        <f>G237</f>
        <v>#REF!</v>
      </c>
    </row>
    <row r="237" spans="1:7" ht="47.25" x14ac:dyDescent="0.25">
      <c r="A237" s="25" t="s">
        <v>149</v>
      </c>
      <c r="B237" s="40" t="s">
        <v>713</v>
      </c>
      <c r="C237" s="40" t="s">
        <v>134</v>
      </c>
      <c r="D237" s="40" t="s">
        <v>156</v>
      </c>
      <c r="E237" s="40" t="s">
        <v>150</v>
      </c>
      <c r="F237" s="40"/>
      <c r="G237" s="10" t="e">
        <f>'Пр.4 ведом.20'!#REF!</f>
        <v>#REF!</v>
      </c>
    </row>
    <row r="238" spans="1:7" ht="63" x14ac:dyDescent="0.25">
      <c r="A238" s="33" t="s">
        <v>207</v>
      </c>
      <c r="B238" s="40" t="s">
        <v>699</v>
      </c>
      <c r="C238" s="40" t="s">
        <v>134</v>
      </c>
      <c r="D238" s="40" t="s">
        <v>156</v>
      </c>
      <c r="E238" s="40"/>
      <c r="F238" s="40"/>
      <c r="G238" s="10" t="e">
        <f>G239</f>
        <v>#REF!</v>
      </c>
    </row>
    <row r="239" spans="1:7" ht="47.25" x14ac:dyDescent="0.25">
      <c r="A239" s="25" t="s">
        <v>147</v>
      </c>
      <c r="B239" s="40" t="s">
        <v>699</v>
      </c>
      <c r="C239" s="40" t="s">
        <v>134</v>
      </c>
      <c r="D239" s="40" t="s">
        <v>156</v>
      </c>
      <c r="E239" s="40" t="s">
        <v>148</v>
      </c>
      <c r="F239" s="40"/>
      <c r="G239" s="10" t="e">
        <f>G240</f>
        <v>#REF!</v>
      </c>
    </row>
    <row r="240" spans="1:7" ht="47.25" x14ac:dyDescent="0.25">
      <c r="A240" s="25" t="s">
        <v>149</v>
      </c>
      <c r="B240" s="40" t="s">
        <v>699</v>
      </c>
      <c r="C240" s="40" t="s">
        <v>134</v>
      </c>
      <c r="D240" s="40" t="s">
        <v>156</v>
      </c>
      <c r="E240" s="40" t="s">
        <v>150</v>
      </c>
      <c r="F240" s="40"/>
      <c r="G240" s="10" t="e">
        <f>'Пр.4 ведом.20'!#REF!</f>
        <v>#REF!</v>
      </c>
    </row>
    <row r="241" spans="1:7" ht="31.5" x14ac:dyDescent="0.25">
      <c r="A241" s="29" t="s">
        <v>164</v>
      </c>
      <c r="B241" s="40" t="s">
        <v>178</v>
      </c>
      <c r="C241" s="40" t="s">
        <v>134</v>
      </c>
      <c r="D241" s="40" t="s">
        <v>156</v>
      </c>
      <c r="E241" s="40"/>
      <c r="F241" s="40" t="s">
        <v>658</v>
      </c>
      <c r="G241" s="10" t="e">
        <f>G224</f>
        <v>#REF!</v>
      </c>
    </row>
    <row r="242" spans="1:7" ht="94.5" x14ac:dyDescent="0.25">
      <c r="A242" s="41" t="s">
        <v>269</v>
      </c>
      <c r="B242" s="176" t="s">
        <v>270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259</v>
      </c>
      <c r="B243" s="5" t="s">
        <v>270</v>
      </c>
      <c r="C243" s="40" t="s">
        <v>260</v>
      </c>
      <c r="D243" s="40"/>
      <c r="E243" s="40"/>
      <c r="F243" s="40"/>
      <c r="G243" s="10" t="e">
        <f>G244</f>
        <v>#REF!</v>
      </c>
    </row>
    <row r="244" spans="1:7" ht="22.7" customHeight="1" x14ac:dyDescent="0.25">
      <c r="A244" s="29" t="s">
        <v>268</v>
      </c>
      <c r="B244" s="5" t="s">
        <v>270</v>
      </c>
      <c r="C244" s="40" t="s">
        <v>260</v>
      </c>
      <c r="D244" s="40" t="s">
        <v>231</v>
      </c>
      <c r="E244" s="40"/>
      <c r="F244" s="40"/>
      <c r="G244" s="10" t="e">
        <f>G245</f>
        <v>#REF!</v>
      </c>
    </row>
    <row r="245" spans="1:7" ht="47.25" x14ac:dyDescent="0.25">
      <c r="A245" s="29" t="s">
        <v>173</v>
      </c>
      <c r="B245" s="66" t="s">
        <v>271</v>
      </c>
      <c r="C245" s="40" t="s">
        <v>260</v>
      </c>
      <c r="D245" s="40" t="s">
        <v>231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264</v>
      </c>
      <c r="B246" s="66" t="s">
        <v>271</v>
      </c>
      <c r="C246" s="40" t="s">
        <v>260</v>
      </c>
      <c r="D246" s="40" t="s">
        <v>231</v>
      </c>
      <c r="E246" s="40" t="s">
        <v>265</v>
      </c>
      <c r="F246" s="40"/>
      <c r="G246" s="10" t="e">
        <f>G247</f>
        <v>#REF!</v>
      </c>
    </row>
    <row r="247" spans="1:7" ht="47.25" x14ac:dyDescent="0.25">
      <c r="A247" s="29" t="s">
        <v>266</v>
      </c>
      <c r="B247" s="66" t="s">
        <v>271</v>
      </c>
      <c r="C247" s="40" t="s">
        <v>260</v>
      </c>
      <c r="D247" s="40" t="s">
        <v>231</v>
      </c>
      <c r="E247" s="40" t="s">
        <v>267</v>
      </c>
      <c r="F247" s="40"/>
      <c r="G247" s="10" t="e">
        <f>'Пр.4 ведом.20'!#REF!</f>
        <v>#REF!</v>
      </c>
    </row>
    <row r="248" spans="1:7" ht="31.5" x14ac:dyDescent="0.25">
      <c r="A248" s="45" t="s">
        <v>164</v>
      </c>
      <c r="B248" s="66" t="s">
        <v>270</v>
      </c>
      <c r="C248" s="40" t="s">
        <v>260</v>
      </c>
      <c r="D248" s="40" t="s">
        <v>231</v>
      </c>
      <c r="E248" s="40"/>
      <c r="F248" s="40" t="s">
        <v>658</v>
      </c>
      <c r="G248" s="10" t="e">
        <f>G242</f>
        <v>#REF!</v>
      </c>
    </row>
    <row r="249" spans="1:7" ht="141.75" x14ac:dyDescent="0.25">
      <c r="A249" s="41" t="s">
        <v>610</v>
      </c>
      <c r="B249" s="176" t="s">
        <v>184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185</v>
      </c>
      <c r="B250" s="176" t="s">
        <v>186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133</v>
      </c>
      <c r="B251" s="5" t="s">
        <v>186</v>
      </c>
      <c r="C251" s="40" t="s">
        <v>134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155</v>
      </c>
      <c r="B252" s="5" t="s">
        <v>186</v>
      </c>
      <c r="C252" s="40" t="s">
        <v>134</v>
      </c>
      <c r="D252" s="40" t="s">
        <v>156</v>
      </c>
      <c r="E252" s="40"/>
      <c r="F252" s="40"/>
      <c r="G252" s="10" t="e">
        <f>G253</f>
        <v>#REF!</v>
      </c>
    </row>
    <row r="253" spans="1:7" ht="47.25" x14ac:dyDescent="0.25">
      <c r="A253" s="98" t="s">
        <v>187</v>
      </c>
      <c r="B253" s="5" t="s">
        <v>188</v>
      </c>
      <c r="C253" s="40" t="s">
        <v>134</v>
      </c>
      <c r="D253" s="40" t="s">
        <v>156</v>
      </c>
      <c r="E253" s="40"/>
      <c r="F253" s="40"/>
      <c r="G253" s="10" t="e">
        <f>G254</f>
        <v>#REF!</v>
      </c>
    </row>
    <row r="254" spans="1:7" ht="47.25" x14ac:dyDescent="0.25">
      <c r="A254" s="29" t="s">
        <v>147</v>
      </c>
      <c r="B254" s="5" t="s">
        <v>188</v>
      </c>
      <c r="C254" s="40" t="s">
        <v>134</v>
      </c>
      <c r="D254" s="40" t="s">
        <v>156</v>
      </c>
      <c r="E254" s="40" t="s">
        <v>148</v>
      </c>
      <c r="F254" s="40"/>
      <c r="G254" s="10" t="e">
        <f>G255</f>
        <v>#REF!</v>
      </c>
    </row>
    <row r="255" spans="1:7" ht="47.25" x14ac:dyDescent="0.25">
      <c r="A255" s="29" t="s">
        <v>149</v>
      </c>
      <c r="B255" s="5" t="s">
        <v>188</v>
      </c>
      <c r="C255" s="40" t="s">
        <v>134</v>
      </c>
      <c r="D255" s="40" t="s">
        <v>156</v>
      </c>
      <c r="E255" s="40" t="s">
        <v>150</v>
      </c>
      <c r="F255" s="40"/>
      <c r="G255" s="10" t="e">
        <f>'Пр.4 ведом.20'!#REF!</f>
        <v>#REF!</v>
      </c>
    </row>
    <row r="256" spans="1:7" ht="31.5" x14ac:dyDescent="0.25">
      <c r="A256" s="29" t="s">
        <v>164</v>
      </c>
      <c r="B256" s="5" t="s">
        <v>186</v>
      </c>
      <c r="C256" s="40" t="s">
        <v>134</v>
      </c>
      <c r="D256" s="40" t="s">
        <v>156</v>
      </c>
      <c r="E256" s="40"/>
      <c r="F256" s="40" t="s">
        <v>658</v>
      </c>
      <c r="G256" s="6" t="e">
        <f>G250</f>
        <v>#REF!</v>
      </c>
    </row>
    <row r="257" spans="1:7" ht="94.5" x14ac:dyDescent="0.25">
      <c r="A257" s="41" t="s">
        <v>189</v>
      </c>
      <c r="B257" s="176" t="s">
        <v>190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133</v>
      </c>
      <c r="B258" s="5" t="s">
        <v>190</v>
      </c>
      <c r="C258" s="40" t="s">
        <v>134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155</v>
      </c>
      <c r="B259" s="5" t="s">
        <v>190</v>
      </c>
      <c r="C259" s="40" t="s">
        <v>134</v>
      </c>
      <c r="D259" s="40" t="s">
        <v>156</v>
      </c>
      <c r="E259" s="40"/>
      <c r="F259" s="40"/>
      <c r="G259" s="6" t="e">
        <f>G260</f>
        <v>#REF!</v>
      </c>
    </row>
    <row r="260" spans="1:7" ht="31.5" x14ac:dyDescent="0.25">
      <c r="A260" s="45" t="s">
        <v>191</v>
      </c>
      <c r="B260" s="5" t="s">
        <v>192</v>
      </c>
      <c r="C260" s="9" t="s">
        <v>134</v>
      </c>
      <c r="D260" s="9" t="s">
        <v>156</v>
      </c>
      <c r="E260" s="9"/>
      <c r="F260" s="26"/>
      <c r="G260" s="26" t="e">
        <f>G261</f>
        <v>#REF!</v>
      </c>
    </row>
    <row r="261" spans="1:7" ht="47.25" x14ac:dyDescent="0.25">
      <c r="A261" s="25" t="s">
        <v>147</v>
      </c>
      <c r="B261" s="5" t="s">
        <v>192</v>
      </c>
      <c r="C261" s="9" t="s">
        <v>134</v>
      </c>
      <c r="D261" s="9" t="s">
        <v>156</v>
      </c>
      <c r="E261" s="9" t="s">
        <v>148</v>
      </c>
      <c r="F261" s="26"/>
      <c r="G261" s="26" t="e">
        <f>G262</f>
        <v>#REF!</v>
      </c>
    </row>
    <row r="262" spans="1:7" ht="47.25" x14ac:dyDescent="0.25">
      <c r="A262" s="25" t="s">
        <v>149</v>
      </c>
      <c r="B262" s="5" t="s">
        <v>192</v>
      </c>
      <c r="C262" s="9" t="s">
        <v>134</v>
      </c>
      <c r="D262" s="9" t="s">
        <v>156</v>
      </c>
      <c r="E262" s="9" t="s">
        <v>150</v>
      </c>
      <c r="F262" s="26"/>
      <c r="G262" s="26" t="e">
        <f>'Пр.4 ведом.20'!#REF!</f>
        <v>#REF!</v>
      </c>
    </row>
    <row r="263" spans="1:7" ht="31.5" x14ac:dyDescent="0.25">
      <c r="A263" s="29" t="s">
        <v>164</v>
      </c>
      <c r="B263" s="5" t="s">
        <v>190</v>
      </c>
      <c r="C263" s="40" t="s">
        <v>134</v>
      </c>
      <c r="D263" s="40" t="s">
        <v>156</v>
      </c>
      <c r="E263" s="40"/>
      <c r="F263" s="40" t="s">
        <v>658</v>
      </c>
      <c r="G263" s="6" t="e">
        <f>G257</f>
        <v>#REF!</v>
      </c>
    </row>
    <row r="264" spans="1:7" ht="63" x14ac:dyDescent="0.25">
      <c r="A264" s="23" t="s">
        <v>193</v>
      </c>
      <c r="B264" s="176" t="s">
        <v>194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133</v>
      </c>
      <c r="B265" s="5" t="s">
        <v>194</v>
      </c>
      <c r="C265" s="40" t="s">
        <v>134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155</v>
      </c>
      <c r="B266" s="5" t="s">
        <v>194</v>
      </c>
      <c r="C266" s="40" t="s">
        <v>134</v>
      </c>
      <c r="D266" s="40" t="s">
        <v>156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195</v>
      </c>
      <c r="B267" s="5" t="s">
        <v>196</v>
      </c>
      <c r="C267" s="40" t="s">
        <v>134</v>
      </c>
      <c r="D267" s="40" t="s">
        <v>156</v>
      </c>
      <c r="E267" s="40"/>
      <c r="F267" s="40"/>
      <c r="G267" s="10" t="e">
        <f>G268</f>
        <v>#REF!</v>
      </c>
    </row>
    <row r="268" spans="1:7" ht="47.25" x14ac:dyDescent="0.25">
      <c r="A268" s="29" t="s">
        <v>147</v>
      </c>
      <c r="B268" s="5" t="s">
        <v>196</v>
      </c>
      <c r="C268" s="40" t="s">
        <v>134</v>
      </c>
      <c r="D268" s="40" t="s">
        <v>156</v>
      </c>
      <c r="E268" s="40" t="s">
        <v>148</v>
      </c>
      <c r="F268" s="40"/>
      <c r="G268" s="10" t="e">
        <f>G269</f>
        <v>#REF!</v>
      </c>
    </row>
    <row r="269" spans="1:7" ht="47.25" x14ac:dyDescent="0.25">
      <c r="A269" s="29" t="s">
        <v>149</v>
      </c>
      <c r="B269" s="5" t="s">
        <v>196</v>
      </c>
      <c r="C269" s="40" t="s">
        <v>134</v>
      </c>
      <c r="D269" s="40" t="s">
        <v>156</v>
      </c>
      <c r="E269" s="40" t="s">
        <v>150</v>
      </c>
      <c r="F269" s="40"/>
      <c r="G269" s="10" t="e">
        <f>'Пр.4 ведом.20'!#REF!</f>
        <v>#REF!</v>
      </c>
    </row>
    <row r="270" spans="1:7" ht="31.5" x14ac:dyDescent="0.25">
      <c r="A270" s="29" t="s">
        <v>164</v>
      </c>
      <c r="B270" s="5" t="s">
        <v>194</v>
      </c>
      <c r="C270" s="40" t="s">
        <v>134</v>
      </c>
      <c r="D270" s="40" t="s">
        <v>156</v>
      </c>
      <c r="E270" s="40"/>
      <c r="F270" s="40" t="s">
        <v>658</v>
      </c>
      <c r="G270" s="10" t="e">
        <f>G264</f>
        <v>#REF!</v>
      </c>
    </row>
    <row r="271" spans="1:7" ht="69" customHeight="1" x14ac:dyDescent="0.25">
      <c r="A271" s="41" t="s">
        <v>497</v>
      </c>
      <c r="B271" s="3" t="s">
        <v>498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659</v>
      </c>
      <c r="B272" s="3" t="s">
        <v>500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279</v>
      </c>
      <c r="B273" s="40" t="s">
        <v>500</v>
      </c>
      <c r="C273" s="40" t="s">
        <v>280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281</v>
      </c>
      <c r="B274" s="40" t="s">
        <v>500</v>
      </c>
      <c r="C274" s="40" t="s">
        <v>280</v>
      </c>
      <c r="D274" s="40" t="s">
        <v>231</v>
      </c>
      <c r="E274" s="68"/>
      <c r="F274" s="68"/>
      <c r="G274" s="10" t="e">
        <f>G275+G290</f>
        <v>#REF!</v>
      </c>
    </row>
    <row r="275" spans="1:7" ht="63" x14ac:dyDescent="0.25">
      <c r="A275" s="29" t="s">
        <v>286</v>
      </c>
      <c r="B275" s="40" t="s">
        <v>501</v>
      </c>
      <c r="C275" s="40" t="s">
        <v>280</v>
      </c>
      <c r="D275" s="40" t="s">
        <v>231</v>
      </c>
      <c r="E275" s="68"/>
      <c r="F275" s="68"/>
      <c r="G275" s="10" t="e">
        <f>G276</f>
        <v>#REF!</v>
      </c>
    </row>
    <row r="276" spans="1:7" ht="63" x14ac:dyDescent="0.25">
      <c r="A276" s="29" t="s">
        <v>288</v>
      </c>
      <c r="B276" s="40" t="s">
        <v>501</v>
      </c>
      <c r="C276" s="40" t="s">
        <v>280</v>
      </c>
      <c r="D276" s="40" t="s">
        <v>231</v>
      </c>
      <c r="E276" s="40" t="s">
        <v>289</v>
      </c>
      <c r="F276" s="68"/>
      <c r="G276" s="10" t="e">
        <f>G277</f>
        <v>#REF!</v>
      </c>
    </row>
    <row r="277" spans="1:7" ht="15.75" x14ac:dyDescent="0.25">
      <c r="A277" s="29" t="s">
        <v>290</v>
      </c>
      <c r="B277" s="40" t="s">
        <v>501</v>
      </c>
      <c r="C277" s="40" t="s">
        <v>280</v>
      </c>
      <c r="D277" s="40" t="s">
        <v>231</v>
      </c>
      <c r="E277" s="40" t="s">
        <v>291</v>
      </c>
      <c r="F277" s="68"/>
      <c r="G277" s="10" t="e">
        <f>'Пр.4 ведом.20'!#REF!</f>
        <v>#REF!</v>
      </c>
    </row>
    <row r="278" spans="1:7" ht="78.75" hidden="1" customHeight="1" x14ac:dyDescent="0.25">
      <c r="A278" s="29" t="s">
        <v>612</v>
      </c>
      <c r="B278" s="40" t="s">
        <v>660</v>
      </c>
      <c r="C278" s="40" t="s">
        <v>280</v>
      </c>
      <c r="D278" s="40" t="s">
        <v>231</v>
      </c>
      <c r="E278" s="40"/>
      <c r="F278" s="68"/>
      <c r="G278" s="10">
        <f>G279</f>
        <v>0</v>
      </c>
    </row>
    <row r="279" spans="1:7" ht="63" hidden="1" x14ac:dyDescent="0.25">
      <c r="A279" s="29" t="s">
        <v>288</v>
      </c>
      <c r="B279" s="40" t="s">
        <v>660</v>
      </c>
      <c r="C279" s="40" t="s">
        <v>280</v>
      </c>
      <c r="D279" s="40" t="s">
        <v>231</v>
      </c>
      <c r="E279" s="40" t="s">
        <v>289</v>
      </c>
      <c r="F279" s="68"/>
      <c r="G279" s="10">
        <f>G280</f>
        <v>0</v>
      </c>
    </row>
    <row r="280" spans="1:7" ht="15.75" hidden="1" x14ac:dyDescent="0.25">
      <c r="A280" s="29" t="s">
        <v>290</v>
      </c>
      <c r="B280" s="40" t="s">
        <v>660</v>
      </c>
      <c r="C280" s="40" t="s">
        <v>280</v>
      </c>
      <c r="D280" s="40" t="s">
        <v>231</v>
      </c>
      <c r="E280" s="40" t="s">
        <v>291</v>
      </c>
      <c r="F280" s="68"/>
      <c r="G280" s="10">
        <f>G281</f>
        <v>0</v>
      </c>
    </row>
    <row r="281" spans="1:7" ht="47.25" hidden="1" x14ac:dyDescent="0.25">
      <c r="A281" s="46" t="s">
        <v>496</v>
      </c>
      <c r="B281" s="40" t="s">
        <v>660</v>
      </c>
      <c r="C281" s="40" t="s">
        <v>280</v>
      </c>
      <c r="D281" s="40" t="s">
        <v>231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294</v>
      </c>
      <c r="B282" s="40" t="s">
        <v>661</v>
      </c>
      <c r="C282" s="40" t="s">
        <v>280</v>
      </c>
      <c r="D282" s="40" t="s">
        <v>231</v>
      </c>
      <c r="E282" s="40"/>
      <c r="F282" s="68"/>
      <c r="G282" s="10">
        <f>G283</f>
        <v>0</v>
      </c>
    </row>
    <row r="283" spans="1:7" ht="63" hidden="1" x14ac:dyDescent="0.25">
      <c r="A283" s="29" t="s">
        <v>288</v>
      </c>
      <c r="B283" s="40" t="s">
        <v>661</v>
      </c>
      <c r="C283" s="40" t="s">
        <v>280</v>
      </c>
      <c r="D283" s="40" t="s">
        <v>231</v>
      </c>
      <c r="E283" s="40" t="s">
        <v>289</v>
      </c>
      <c r="F283" s="68"/>
      <c r="G283" s="10">
        <f>G284</f>
        <v>0</v>
      </c>
    </row>
    <row r="284" spans="1:7" ht="15.75" hidden="1" x14ac:dyDescent="0.25">
      <c r="A284" s="29" t="s">
        <v>290</v>
      </c>
      <c r="B284" s="40" t="s">
        <v>661</v>
      </c>
      <c r="C284" s="40" t="s">
        <v>280</v>
      </c>
      <c r="D284" s="40" t="s">
        <v>231</v>
      </c>
      <c r="E284" s="40" t="s">
        <v>291</v>
      </c>
      <c r="F284" s="68"/>
      <c r="G284" s="10"/>
    </row>
    <row r="285" spans="1:7" ht="47.25" hidden="1" x14ac:dyDescent="0.25">
      <c r="A285" s="46" t="s">
        <v>496</v>
      </c>
      <c r="B285" s="40" t="s">
        <v>661</v>
      </c>
      <c r="C285" s="40" t="s">
        <v>280</v>
      </c>
      <c r="D285" s="40" t="s">
        <v>231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296</v>
      </c>
      <c r="B286" s="40" t="s">
        <v>662</v>
      </c>
      <c r="C286" s="40" t="s">
        <v>280</v>
      </c>
      <c r="D286" s="40" t="s">
        <v>231</v>
      </c>
      <c r="E286" s="40"/>
      <c r="F286" s="68"/>
      <c r="G286" s="10">
        <f>G287</f>
        <v>0</v>
      </c>
    </row>
    <row r="287" spans="1:7" ht="63" hidden="1" x14ac:dyDescent="0.25">
      <c r="A287" s="29" t="s">
        <v>288</v>
      </c>
      <c r="B287" s="40" t="s">
        <v>662</v>
      </c>
      <c r="C287" s="40" t="s">
        <v>280</v>
      </c>
      <c r="D287" s="40" t="s">
        <v>231</v>
      </c>
      <c r="E287" s="40" t="s">
        <v>289</v>
      </c>
      <c r="F287" s="68"/>
      <c r="G287" s="10">
        <f>G288</f>
        <v>0</v>
      </c>
    </row>
    <row r="288" spans="1:7" ht="15.75" hidden="1" x14ac:dyDescent="0.25">
      <c r="A288" s="29" t="s">
        <v>290</v>
      </c>
      <c r="B288" s="40" t="s">
        <v>662</v>
      </c>
      <c r="C288" s="40" t="s">
        <v>280</v>
      </c>
      <c r="D288" s="40" t="s">
        <v>231</v>
      </c>
      <c r="E288" s="40" t="s">
        <v>291</v>
      </c>
      <c r="F288" s="68"/>
      <c r="G288" s="10"/>
    </row>
    <row r="289" spans="1:7" ht="47.25" hidden="1" x14ac:dyDescent="0.25">
      <c r="A289" s="46" t="s">
        <v>496</v>
      </c>
      <c r="B289" s="40" t="s">
        <v>662</v>
      </c>
      <c r="C289" s="40" t="s">
        <v>280</v>
      </c>
      <c r="D289" s="40" t="s">
        <v>231</v>
      </c>
      <c r="E289" s="40"/>
      <c r="F289" s="2">
        <v>907</v>
      </c>
      <c r="G289" s="10">
        <v>0</v>
      </c>
    </row>
    <row r="290" spans="1:7" ht="47.25" x14ac:dyDescent="0.25">
      <c r="A290" s="29" t="s">
        <v>298</v>
      </c>
      <c r="B290" s="40" t="s">
        <v>504</v>
      </c>
      <c r="C290" s="40" t="s">
        <v>280</v>
      </c>
      <c r="D290" s="40" t="s">
        <v>231</v>
      </c>
      <c r="E290" s="40"/>
      <c r="F290" s="68"/>
      <c r="G290" s="10" t="e">
        <f>G291</f>
        <v>#REF!</v>
      </c>
    </row>
    <row r="291" spans="1:7" ht="63" x14ac:dyDescent="0.25">
      <c r="A291" s="29" t="s">
        <v>288</v>
      </c>
      <c r="B291" s="40" t="s">
        <v>504</v>
      </c>
      <c r="C291" s="40" t="s">
        <v>280</v>
      </c>
      <c r="D291" s="40" t="s">
        <v>231</v>
      </c>
      <c r="E291" s="40" t="s">
        <v>289</v>
      </c>
      <c r="F291" s="68"/>
      <c r="G291" s="10" t="e">
        <f>G292</f>
        <v>#REF!</v>
      </c>
    </row>
    <row r="292" spans="1:7" ht="15.75" x14ac:dyDescent="0.25">
      <c r="A292" s="29" t="s">
        <v>290</v>
      </c>
      <c r="B292" s="40" t="s">
        <v>504</v>
      </c>
      <c r="C292" s="40" t="s">
        <v>280</v>
      </c>
      <c r="D292" s="40" t="s">
        <v>231</v>
      </c>
      <c r="E292" s="40" t="s">
        <v>291</v>
      </c>
      <c r="F292" s="68"/>
      <c r="G292" s="10" t="e">
        <f>'Пр.4 ведом.20'!#REF!</f>
        <v>#REF!</v>
      </c>
    </row>
    <row r="293" spans="1:7" ht="58.7" customHeight="1" x14ac:dyDescent="0.25">
      <c r="A293" s="70" t="s">
        <v>496</v>
      </c>
      <c r="B293" s="40" t="s">
        <v>500</v>
      </c>
      <c r="C293" s="40" t="s">
        <v>280</v>
      </c>
      <c r="D293" s="40" t="s">
        <v>231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509</v>
      </c>
      <c r="B294" s="7" t="s">
        <v>510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506</v>
      </c>
      <c r="B295" s="40" t="s">
        <v>510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508</v>
      </c>
      <c r="B296" s="40" t="s">
        <v>510</v>
      </c>
      <c r="C296" s="40" t="s">
        <v>507</v>
      </c>
      <c r="D296" s="40" t="s">
        <v>134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511</v>
      </c>
      <c r="B297" s="40" t="s">
        <v>512</v>
      </c>
      <c r="C297" s="40" t="s">
        <v>507</v>
      </c>
      <c r="D297" s="40" t="s">
        <v>134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288</v>
      </c>
      <c r="B298" s="40" t="s">
        <v>512</v>
      </c>
      <c r="C298" s="40" t="s">
        <v>507</v>
      </c>
      <c r="D298" s="40" t="s">
        <v>134</v>
      </c>
      <c r="E298" s="40" t="s">
        <v>289</v>
      </c>
      <c r="F298" s="5"/>
      <c r="G298" s="10" t="e">
        <f>G299</f>
        <v>#REF!</v>
      </c>
    </row>
    <row r="299" spans="1:7" ht="15.75" x14ac:dyDescent="0.25">
      <c r="A299" s="29" t="s">
        <v>290</v>
      </c>
      <c r="B299" s="40" t="s">
        <v>512</v>
      </c>
      <c r="C299" s="40" t="s">
        <v>507</v>
      </c>
      <c r="D299" s="40" t="s">
        <v>134</v>
      </c>
      <c r="E299" s="40" t="s">
        <v>291</v>
      </c>
      <c r="F299" s="5"/>
      <c r="G299" s="10" t="e">
        <f>'Пр.4 ведом.20'!#REF!</f>
        <v>#REF!</v>
      </c>
    </row>
    <row r="300" spans="1:7" ht="47.25" hidden="1" x14ac:dyDescent="0.25">
      <c r="A300" s="46" t="s">
        <v>496</v>
      </c>
      <c r="B300" s="40" t="s">
        <v>510</v>
      </c>
      <c r="C300" s="40" t="s">
        <v>507</v>
      </c>
      <c r="D300" s="40" t="s">
        <v>134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612</v>
      </c>
      <c r="B301" s="40" t="s">
        <v>663</v>
      </c>
      <c r="C301" s="40" t="s">
        <v>507</v>
      </c>
      <c r="D301" s="40" t="s">
        <v>134</v>
      </c>
      <c r="E301" s="40"/>
      <c r="F301" s="5"/>
      <c r="G301" s="10">
        <f>G302</f>
        <v>0</v>
      </c>
    </row>
    <row r="302" spans="1:7" ht="63" hidden="1" x14ac:dyDescent="0.25">
      <c r="A302" s="29" t="s">
        <v>288</v>
      </c>
      <c r="B302" s="40" t="s">
        <v>663</v>
      </c>
      <c r="C302" s="40" t="s">
        <v>507</v>
      </c>
      <c r="D302" s="40" t="s">
        <v>134</v>
      </c>
      <c r="E302" s="40" t="s">
        <v>289</v>
      </c>
      <c r="F302" s="5"/>
      <c r="G302" s="10">
        <f>G303</f>
        <v>0</v>
      </c>
    </row>
    <row r="303" spans="1:7" ht="15.75" hidden="1" x14ac:dyDescent="0.25">
      <c r="A303" s="29" t="s">
        <v>290</v>
      </c>
      <c r="B303" s="40" t="s">
        <v>663</v>
      </c>
      <c r="C303" s="40" t="s">
        <v>507</v>
      </c>
      <c r="D303" s="40" t="s">
        <v>134</v>
      </c>
      <c r="E303" s="40" t="s">
        <v>291</v>
      </c>
      <c r="F303" s="5"/>
      <c r="G303" s="10">
        <f>G304</f>
        <v>0</v>
      </c>
    </row>
    <row r="304" spans="1:7" ht="47.25" hidden="1" x14ac:dyDescent="0.25">
      <c r="A304" s="70" t="s">
        <v>496</v>
      </c>
      <c r="B304" s="40" t="s">
        <v>663</v>
      </c>
      <c r="C304" s="40" t="s">
        <v>507</v>
      </c>
      <c r="D304" s="40" t="s">
        <v>134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294</v>
      </c>
      <c r="B305" s="40" t="s">
        <v>513</v>
      </c>
      <c r="C305" s="40" t="s">
        <v>507</v>
      </c>
      <c r="D305" s="40" t="s">
        <v>134</v>
      </c>
      <c r="E305" s="40"/>
      <c r="F305" s="5"/>
      <c r="G305" s="10" t="e">
        <f>G306</f>
        <v>#REF!</v>
      </c>
    </row>
    <row r="306" spans="1:8" ht="63" x14ac:dyDescent="0.25">
      <c r="A306" s="29" t="s">
        <v>288</v>
      </c>
      <c r="B306" s="40" t="s">
        <v>513</v>
      </c>
      <c r="C306" s="40" t="s">
        <v>507</v>
      </c>
      <c r="D306" s="40" t="s">
        <v>134</v>
      </c>
      <c r="E306" s="40" t="s">
        <v>289</v>
      </c>
      <c r="F306" s="5"/>
      <c r="G306" s="10" t="e">
        <f>G307</f>
        <v>#REF!</v>
      </c>
    </row>
    <row r="307" spans="1:8" ht="15.75" x14ac:dyDescent="0.25">
      <c r="A307" s="29" t="s">
        <v>290</v>
      </c>
      <c r="B307" s="40" t="s">
        <v>513</v>
      </c>
      <c r="C307" s="40" t="s">
        <v>507</v>
      </c>
      <c r="D307" s="40" t="s">
        <v>134</v>
      </c>
      <c r="E307" s="40" t="s">
        <v>291</v>
      </c>
      <c r="F307" s="5"/>
      <c r="G307" s="160" t="e">
        <f>'Пр.4 ведом.20'!#REF!</f>
        <v>#REF!</v>
      </c>
      <c r="H307" s="161" t="s">
        <v>754</v>
      </c>
    </row>
    <row r="308" spans="1:8" ht="47.25" x14ac:dyDescent="0.25">
      <c r="A308" s="46" t="s">
        <v>496</v>
      </c>
      <c r="B308" s="40" t="s">
        <v>510</v>
      </c>
      <c r="C308" s="40" t="s">
        <v>507</v>
      </c>
      <c r="D308" s="40" t="s">
        <v>134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296</v>
      </c>
      <c r="B309" s="40" t="s">
        <v>664</v>
      </c>
      <c r="C309" s="40" t="s">
        <v>507</v>
      </c>
      <c r="D309" s="40" t="s">
        <v>134</v>
      </c>
      <c r="E309" s="40"/>
      <c r="F309" s="5"/>
      <c r="G309" s="10">
        <f>G310</f>
        <v>0</v>
      </c>
    </row>
    <row r="310" spans="1:8" ht="63" hidden="1" x14ac:dyDescent="0.25">
      <c r="A310" s="29" t="s">
        <v>288</v>
      </c>
      <c r="B310" s="40" t="s">
        <v>664</v>
      </c>
      <c r="C310" s="40" t="s">
        <v>507</v>
      </c>
      <c r="D310" s="40" t="s">
        <v>134</v>
      </c>
      <c r="E310" s="40" t="s">
        <v>289</v>
      </c>
      <c r="F310" s="5"/>
      <c r="G310" s="10">
        <f>G311</f>
        <v>0</v>
      </c>
    </row>
    <row r="311" spans="1:8" ht="15.75" hidden="1" x14ac:dyDescent="0.25">
      <c r="A311" s="29" t="s">
        <v>290</v>
      </c>
      <c r="B311" s="40" t="s">
        <v>664</v>
      </c>
      <c r="C311" s="40" t="s">
        <v>507</v>
      </c>
      <c r="D311" s="40" t="s">
        <v>134</v>
      </c>
      <c r="E311" s="40" t="s">
        <v>291</v>
      </c>
      <c r="F311" s="5"/>
      <c r="G311" s="10"/>
    </row>
    <row r="312" spans="1:8" ht="47.25" hidden="1" x14ac:dyDescent="0.25">
      <c r="A312" s="46" t="s">
        <v>496</v>
      </c>
      <c r="B312" s="40" t="s">
        <v>664</v>
      </c>
      <c r="C312" s="40" t="s">
        <v>507</v>
      </c>
      <c r="D312" s="40" t="s">
        <v>134</v>
      </c>
      <c r="E312" s="40"/>
      <c r="F312" s="5">
        <v>907</v>
      </c>
      <c r="G312" s="10">
        <v>0</v>
      </c>
    </row>
    <row r="313" spans="1:8" ht="71.45" hidden="1" customHeight="1" x14ac:dyDescent="0.25">
      <c r="A313" s="29" t="s">
        <v>300</v>
      </c>
      <c r="B313" s="40" t="s">
        <v>665</v>
      </c>
      <c r="C313" s="40" t="s">
        <v>507</v>
      </c>
      <c r="D313" s="40" t="s">
        <v>134</v>
      </c>
      <c r="E313" s="40"/>
      <c r="F313" s="5"/>
      <c r="G313" s="10">
        <f>G314</f>
        <v>0</v>
      </c>
    </row>
    <row r="314" spans="1:8" ht="63" hidden="1" x14ac:dyDescent="0.25">
      <c r="A314" s="29" t="s">
        <v>288</v>
      </c>
      <c r="B314" s="40" t="s">
        <v>665</v>
      </c>
      <c r="C314" s="40" t="s">
        <v>507</v>
      </c>
      <c r="D314" s="40" t="s">
        <v>134</v>
      </c>
      <c r="E314" s="40" t="s">
        <v>289</v>
      </c>
      <c r="F314" s="5"/>
      <c r="G314" s="10">
        <f>G315</f>
        <v>0</v>
      </c>
    </row>
    <row r="315" spans="1:8" ht="15.75" hidden="1" x14ac:dyDescent="0.25">
      <c r="A315" s="29" t="s">
        <v>290</v>
      </c>
      <c r="B315" s="40" t="s">
        <v>665</v>
      </c>
      <c r="C315" s="40" t="s">
        <v>507</v>
      </c>
      <c r="D315" s="40" t="s">
        <v>134</v>
      </c>
      <c r="E315" s="40" t="s">
        <v>291</v>
      </c>
      <c r="F315" s="5"/>
      <c r="G315" s="10"/>
    </row>
    <row r="316" spans="1:8" ht="47.25" hidden="1" x14ac:dyDescent="0.25">
      <c r="A316" s="46" t="s">
        <v>496</v>
      </c>
      <c r="B316" s="40" t="s">
        <v>665</v>
      </c>
      <c r="C316" s="40" t="s">
        <v>507</v>
      </c>
      <c r="D316" s="40" t="s">
        <v>134</v>
      </c>
      <c r="E316" s="40"/>
      <c r="F316" s="5">
        <v>907</v>
      </c>
      <c r="G316" s="10">
        <v>0</v>
      </c>
    </row>
    <row r="317" spans="1:8" ht="63" x14ac:dyDescent="0.25">
      <c r="A317" s="58" t="s">
        <v>517</v>
      </c>
      <c r="B317" s="7" t="s">
        <v>518</v>
      </c>
      <c r="C317" s="7"/>
      <c r="D317" s="7"/>
      <c r="E317" s="7"/>
      <c r="F317" s="176"/>
      <c r="G317" s="4" t="e">
        <f>G318</f>
        <v>#REF!</v>
      </c>
    </row>
    <row r="318" spans="1:8" ht="15.75" x14ac:dyDescent="0.25">
      <c r="A318" s="29" t="s">
        <v>506</v>
      </c>
      <c r="B318" s="40" t="s">
        <v>518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516</v>
      </c>
      <c r="B319" s="40" t="s">
        <v>518</v>
      </c>
      <c r="C319" s="40" t="s">
        <v>507</v>
      </c>
      <c r="D319" s="40" t="s">
        <v>250</v>
      </c>
      <c r="E319" s="40"/>
      <c r="F319" s="5"/>
      <c r="G319" s="6" t="e">
        <f>G320</f>
        <v>#REF!</v>
      </c>
    </row>
    <row r="320" spans="1:8" ht="47.25" x14ac:dyDescent="0.25">
      <c r="A320" s="29" t="s">
        <v>173</v>
      </c>
      <c r="B320" s="40" t="s">
        <v>519</v>
      </c>
      <c r="C320" s="40" t="s">
        <v>507</v>
      </c>
      <c r="D320" s="40" t="s">
        <v>250</v>
      </c>
      <c r="E320" s="40"/>
      <c r="F320" s="5"/>
      <c r="G320" s="6" t="e">
        <f>G323+G321</f>
        <v>#REF!</v>
      </c>
    </row>
    <row r="321" spans="1:7" ht="110.25" x14ac:dyDescent="0.25">
      <c r="A321" s="25" t="s">
        <v>143</v>
      </c>
      <c r="B321" s="40" t="s">
        <v>519</v>
      </c>
      <c r="C321" s="40" t="s">
        <v>507</v>
      </c>
      <c r="D321" s="40" t="s">
        <v>250</v>
      </c>
      <c r="E321" s="40" t="s">
        <v>144</v>
      </c>
      <c r="F321" s="5"/>
      <c r="G321" s="6" t="e">
        <f>G322</f>
        <v>#REF!</v>
      </c>
    </row>
    <row r="322" spans="1:7" ht="55.5" customHeight="1" x14ac:dyDescent="0.25">
      <c r="A322" s="25" t="s">
        <v>145</v>
      </c>
      <c r="B322" s="40" t="s">
        <v>519</v>
      </c>
      <c r="C322" s="40" t="s">
        <v>507</v>
      </c>
      <c r="D322" s="40" t="s">
        <v>250</v>
      </c>
      <c r="E322" s="40" t="s">
        <v>146</v>
      </c>
      <c r="F322" s="5"/>
      <c r="G322" s="6" t="e">
        <f>'Пр.4 ведом.20'!#REF!</f>
        <v>#REF!</v>
      </c>
    </row>
    <row r="323" spans="1:7" ht="47.25" x14ac:dyDescent="0.25">
      <c r="A323" s="29" t="s">
        <v>147</v>
      </c>
      <c r="B323" s="40" t="s">
        <v>519</v>
      </c>
      <c r="C323" s="40" t="s">
        <v>507</v>
      </c>
      <c r="D323" s="40" t="s">
        <v>250</v>
      </c>
      <c r="E323" s="40" t="s">
        <v>148</v>
      </c>
      <c r="F323" s="5"/>
      <c r="G323" s="6" t="e">
        <f>G324</f>
        <v>#REF!</v>
      </c>
    </row>
    <row r="324" spans="1:7" ht="47.25" x14ac:dyDescent="0.25">
      <c r="A324" s="29" t="s">
        <v>149</v>
      </c>
      <c r="B324" s="40" t="s">
        <v>519</v>
      </c>
      <c r="C324" s="40" t="s">
        <v>507</v>
      </c>
      <c r="D324" s="40" t="s">
        <v>250</v>
      </c>
      <c r="E324" s="40" t="s">
        <v>150</v>
      </c>
      <c r="F324" s="5"/>
      <c r="G324" s="6" t="e">
        <f>'Пр.4 ведом.20'!#REF!</f>
        <v>#REF!</v>
      </c>
    </row>
    <row r="325" spans="1:7" ht="47.25" x14ac:dyDescent="0.25">
      <c r="A325" s="70" t="s">
        <v>496</v>
      </c>
      <c r="B325" s="40" t="s">
        <v>518</v>
      </c>
      <c r="C325" s="40" t="s">
        <v>507</v>
      </c>
      <c r="D325" s="40" t="s">
        <v>250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282</v>
      </c>
      <c r="B326" s="7" t="s">
        <v>283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284</v>
      </c>
      <c r="B327" s="7" t="s">
        <v>285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279</v>
      </c>
      <c r="B328" s="40" t="s">
        <v>285</v>
      </c>
      <c r="C328" s="40" t="s">
        <v>280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441</v>
      </c>
      <c r="B329" s="40" t="s">
        <v>285</v>
      </c>
      <c r="C329" s="40" t="s">
        <v>280</v>
      </c>
      <c r="D329" s="40" t="s">
        <v>231</v>
      </c>
      <c r="E329" s="72"/>
      <c r="F329" s="3"/>
      <c r="G329" s="10" t="e">
        <f>G330+G345</f>
        <v>#REF!</v>
      </c>
    </row>
    <row r="330" spans="1:7" ht="63" x14ac:dyDescent="0.25">
      <c r="A330" s="29" t="s">
        <v>286</v>
      </c>
      <c r="B330" s="40" t="s">
        <v>287</v>
      </c>
      <c r="C330" s="40" t="s">
        <v>280</v>
      </c>
      <c r="D330" s="40" t="s">
        <v>231</v>
      </c>
      <c r="E330" s="72"/>
      <c r="F330" s="3"/>
      <c r="G330" s="10" t="e">
        <f>G331</f>
        <v>#REF!</v>
      </c>
    </row>
    <row r="331" spans="1:7" ht="63" x14ac:dyDescent="0.25">
      <c r="A331" s="29" t="s">
        <v>288</v>
      </c>
      <c r="B331" s="40" t="s">
        <v>287</v>
      </c>
      <c r="C331" s="40" t="s">
        <v>280</v>
      </c>
      <c r="D331" s="40" t="s">
        <v>231</v>
      </c>
      <c r="E331" s="40" t="s">
        <v>289</v>
      </c>
      <c r="F331" s="3"/>
      <c r="G331" s="10" t="e">
        <f>G332</f>
        <v>#REF!</v>
      </c>
    </row>
    <row r="332" spans="1:7" ht="15.75" x14ac:dyDescent="0.25">
      <c r="A332" s="29" t="s">
        <v>290</v>
      </c>
      <c r="B332" s="40" t="s">
        <v>287</v>
      </c>
      <c r="C332" s="40" t="s">
        <v>280</v>
      </c>
      <c r="D332" s="40" t="s">
        <v>231</v>
      </c>
      <c r="E332" s="40" t="s">
        <v>291</v>
      </c>
      <c r="F332" s="3"/>
      <c r="G332" s="6" t="e">
        <f>'Пр.4 ведом.20'!#REF!</f>
        <v>#REF!</v>
      </c>
    </row>
    <row r="333" spans="1:7" ht="63" hidden="1" x14ac:dyDescent="0.25">
      <c r="A333" s="29" t="s">
        <v>292</v>
      </c>
      <c r="B333" s="40" t="s">
        <v>666</v>
      </c>
      <c r="C333" s="40" t="s">
        <v>280</v>
      </c>
      <c r="D333" s="40" t="s">
        <v>231</v>
      </c>
      <c r="E333" s="40"/>
      <c r="F333" s="3"/>
      <c r="G333" s="10">
        <f>G334</f>
        <v>0</v>
      </c>
    </row>
    <row r="334" spans="1:7" ht="63" hidden="1" x14ac:dyDescent="0.25">
      <c r="A334" s="29" t="s">
        <v>288</v>
      </c>
      <c r="B334" s="40" t="s">
        <v>666</v>
      </c>
      <c r="C334" s="40" t="s">
        <v>280</v>
      </c>
      <c r="D334" s="40" t="s">
        <v>231</v>
      </c>
      <c r="E334" s="40" t="s">
        <v>289</v>
      </c>
      <c r="F334" s="3"/>
      <c r="G334" s="10">
        <f>G335</f>
        <v>0</v>
      </c>
    </row>
    <row r="335" spans="1:7" ht="15.75" hidden="1" x14ac:dyDescent="0.25">
      <c r="A335" s="29" t="s">
        <v>290</v>
      </c>
      <c r="B335" s="40" t="s">
        <v>666</v>
      </c>
      <c r="C335" s="40" t="s">
        <v>280</v>
      </c>
      <c r="D335" s="40" t="s">
        <v>231</v>
      </c>
      <c r="E335" s="40" t="s">
        <v>291</v>
      </c>
      <c r="F335" s="3"/>
      <c r="G335" s="10"/>
    </row>
    <row r="336" spans="1:7" ht="63" hidden="1" x14ac:dyDescent="0.25">
      <c r="A336" s="45" t="s">
        <v>277</v>
      </c>
      <c r="B336" s="40" t="s">
        <v>666</v>
      </c>
      <c r="C336" s="40" t="s">
        <v>280</v>
      </c>
      <c r="D336" s="40" t="s">
        <v>231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294</v>
      </c>
      <c r="B337" s="40" t="s">
        <v>667</v>
      </c>
      <c r="C337" s="40" t="s">
        <v>280</v>
      </c>
      <c r="D337" s="40" t="s">
        <v>231</v>
      </c>
      <c r="E337" s="40"/>
      <c r="F337" s="3"/>
      <c r="G337" s="10">
        <f>G338</f>
        <v>0</v>
      </c>
    </row>
    <row r="338" spans="1:7" ht="63" hidden="1" x14ac:dyDescent="0.25">
      <c r="A338" s="29" t="s">
        <v>288</v>
      </c>
      <c r="B338" s="40" t="s">
        <v>667</v>
      </c>
      <c r="C338" s="40" t="s">
        <v>280</v>
      </c>
      <c r="D338" s="40" t="s">
        <v>231</v>
      </c>
      <c r="E338" s="40" t="s">
        <v>289</v>
      </c>
      <c r="F338" s="3"/>
      <c r="G338" s="10">
        <f>G339</f>
        <v>0</v>
      </c>
    </row>
    <row r="339" spans="1:7" ht="15.75" hidden="1" x14ac:dyDescent="0.25">
      <c r="A339" s="29" t="s">
        <v>290</v>
      </c>
      <c r="B339" s="40" t="s">
        <v>667</v>
      </c>
      <c r="C339" s="40" t="s">
        <v>280</v>
      </c>
      <c r="D339" s="40" t="s">
        <v>231</v>
      </c>
      <c r="E339" s="40" t="s">
        <v>291</v>
      </c>
      <c r="F339" s="3"/>
      <c r="G339" s="10"/>
    </row>
    <row r="340" spans="1:7" ht="63" hidden="1" x14ac:dyDescent="0.25">
      <c r="A340" s="45" t="s">
        <v>277</v>
      </c>
      <c r="B340" s="40" t="s">
        <v>667</v>
      </c>
      <c r="C340" s="40" t="s">
        <v>280</v>
      </c>
      <c r="D340" s="40" t="s">
        <v>231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296</v>
      </c>
      <c r="B341" s="40" t="s">
        <v>668</v>
      </c>
      <c r="C341" s="40" t="s">
        <v>280</v>
      </c>
      <c r="D341" s="40" t="s">
        <v>231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288</v>
      </c>
      <c r="B342" s="40" t="s">
        <v>668</v>
      </c>
      <c r="C342" s="40" t="s">
        <v>280</v>
      </c>
      <c r="D342" s="40" t="s">
        <v>231</v>
      </c>
      <c r="E342" s="40" t="s">
        <v>289</v>
      </c>
      <c r="F342" s="3"/>
      <c r="G342" s="10">
        <f>G343</f>
        <v>0</v>
      </c>
    </row>
    <row r="343" spans="1:7" ht="15.75" hidden="1" x14ac:dyDescent="0.25">
      <c r="A343" s="29" t="s">
        <v>290</v>
      </c>
      <c r="B343" s="40" t="s">
        <v>668</v>
      </c>
      <c r="C343" s="40" t="s">
        <v>280</v>
      </c>
      <c r="D343" s="40" t="s">
        <v>231</v>
      </c>
      <c r="E343" s="40" t="s">
        <v>291</v>
      </c>
      <c r="F343" s="3"/>
      <c r="G343" s="10"/>
    </row>
    <row r="344" spans="1:7" ht="63" hidden="1" x14ac:dyDescent="0.25">
      <c r="A344" s="45" t="s">
        <v>277</v>
      </c>
      <c r="B344" s="40" t="s">
        <v>668</v>
      </c>
      <c r="C344" s="40" t="s">
        <v>280</v>
      </c>
      <c r="D344" s="40" t="s">
        <v>231</v>
      </c>
      <c r="E344" s="40"/>
      <c r="F344" s="2">
        <v>903</v>
      </c>
      <c r="G344" s="10">
        <v>0</v>
      </c>
    </row>
    <row r="345" spans="1:7" ht="47.25" x14ac:dyDescent="0.25">
      <c r="A345" s="29" t="s">
        <v>298</v>
      </c>
      <c r="B345" s="40" t="s">
        <v>299</v>
      </c>
      <c r="C345" s="40" t="s">
        <v>280</v>
      </c>
      <c r="D345" s="40" t="s">
        <v>231</v>
      </c>
      <c r="E345" s="40"/>
      <c r="F345" s="3"/>
      <c r="G345" s="10" t="e">
        <f>G346</f>
        <v>#REF!</v>
      </c>
    </row>
    <row r="346" spans="1:7" ht="63" x14ac:dyDescent="0.25">
      <c r="A346" s="29" t="s">
        <v>288</v>
      </c>
      <c r="B346" s="40" t="s">
        <v>299</v>
      </c>
      <c r="C346" s="40" t="s">
        <v>280</v>
      </c>
      <c r="D346" s="40" t="s">
        <v>231</v>
      </c>
      <c r="E346" s="40" t="s">
        <v>289</v>
      </c>
      <c r="F346" s="3"/>
      <c r="G346" s="10" t="e">
        <f>G347</f>
        <v>#REF!</v>
      </c>
    </row>
    <row r="347" spans="1:7" ht="15.75" x14ac:dyDescent="0.25">
      <c r="A347" s="29" t="s">
        <v>290</v>
      </c>
      <c r="B347" s="40" t="s">
        <v>299</v>
      </c>
      <c r="C347" s="40" t="s">
        <v>280</v>
      </c>
      <c r="D347" s="40" t="s">
        <v>231</v>
      </c>
      <c r="E347" s="40" t="s">
        <v>291</v>
      </c>
      <c r="F347" s="3"/>
      <c r="G347" s="6" t="e">
        <f>'Пр.4 ведом.20'!#REF!</f>
        <v>#REF!</v>
      </c>
    </row>
    <row r="348" spans="1:7" ht="63" x14ac:dyDescent="0.25">
      <c r="A348" s="45" t="s">
        <v>277</v>
      </c>
      <c r="B348" s="40" t="s">
        <v>285</v>
      </c>
      <c r="C348" s="40" t="s">
        <v>280</v>
      </c>
      <c r="D348" s="40" t="s">
        <v>231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624</v>
      </c>
      <c r="B349" s="40" t="s">
        <v>625</v>
      </c>
      <c r="C349" s="40" t="s">
        <v>280</v>
      </c>
      <c r="D349" s="40" t="s">
        <v>229</v>
      </c>
      <c r="E349" s="40"/>
      <c r="F349" s="3"/>
      <c r="G349" s="10">
        <f>G350</f>
        <v>0</v>
      </c>
    </row>
    <row r="350" spans="1:7" ht="63" hidden="1" x14ac:dyDescent="0.25">
      <c r="A350" s="29" t="s">
        <v>288</v>
      </c>
      <c r="B350" s="40" t="s">
        <v>625</v>
      </c>
      <c r="C350" s="40" t="s">
        <v>280</v>
      </c>
      <c r="D350" s="40" t="s">
        <v>229</v>
      </c>
      <c r="E350" s="40" t="s">
        <v>289</v>
      </c>
      <c r="F350" s="3"/>
      <c r="G350" s="10">
        <f>G351</f>
        <v>0</v>
      </c>
    </row>
    <row r="351" spans="1:7" ht="15.75" hidden="1" x14ac:dyDescent="0.25">
      <c r="A351" s="29" t="s">
        <v>290</v>
      </c>
      <c r="B351" s="40" t="s">
        <v>625</v>
      </c>
      <c r="C351" s="40" t="s">
        <v>280</v>
      </c>
      <c r="D351" s="40" t="s">
        <v>229</v>
      </c>
      <c r="E351" s="40" t="s">
        <v>291</v>
      </c>
      <c r="F351" s="3"/>
      <c r="G351" s="10"/>
    </row>
    <row r="352" spans="1:7" ht="63" hidden="1" x14ac:dyDescent="0.25">
      <c r="A352" s="45" t="s">
        <v>277</v>
      </c>
      <c r="B352" s="40" t="s">
        <v>625</v>
      </c>
      <c r="C352" s="40" t="s">
        <v>280</v>
      </c>
      <c r="D352" s="40" t="s">
        <v>229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317</v>
      </c>
      <c r="B353" s="7" t="s">
        <v>318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314</v>
      </c>
      <c r="B354" s="40" t="s">
        <v>318</v>
      </c>
      <c r="C354" s="40" t="s">
        <v>315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316</v>
      </c>
      <c r="B355" s="40" t="s">
        <v>318</v>
      </c>
      <c r="C355" s="40" t="s">
        <v>315</v>
      </c>
      <c r="D355" s="40" t="s">
        <v>134</v>
      </c>
      <c r="E355" s="73"/>
      <c r="F355" s="2"/>
      <c r="G355" s="10" t="e">
        <f>G356+G363+G366</f>
        <v>#REF!</v>
      </c>
    </row>
    <row r="356" spans="1:7" ht="63" x14ac:dyDescent="0.25">
      <c r="A356" s="29" t="s">
        <v>319</v>
      </c>
      <c r="B356" s="40" t="s">
        <v>320</v>
      </c>
      <c r="C356" s="40" t="s">
        <v>315</v>
      </c>
      <c r="D356" s="40" t="s">
        <v>134</v>
      </c>
      <c r="E356" s="73"/>
      <c r="F356" s="2"/>
      <c r="G356" s="10" t="e">
        <f>G357</f>
        <v>#REF!</v>
      </c>
    </row>
    <row r="357" spans="1:7" ht="63" x14ac:dyDescent="0.25">
      <c r="A357" s="29" t="s">
        <v>288</v>
      </c>
      <c r="B357" s="40" t="s">
        <v>320</v>
      </c>
      <c r="C357" s="40" t="s">
        <v>315</v>
      </c>
      <c r="D357" s="40" t="s">
        <v>134</v>
      </c>
      <c r="E357" s="40" t="s">
        <v>289</v>
      </c>
      <c r="F357" s="2"/>
      <c r="G357" s="10" t="e">
        <f>G358</f>
        <v>#REF!</v>
      </c>
    </row>
    <row r="358" spans="1:7" ht="15.75" x14ac:dyDescent="0.25">
      <c r="A358" s="29" t="s">
        <v>290</v>
      </c>
      <c r="B358" s="40" t="s">
        <v>320</v>
      </c>
      <c r="C358" s="40" t="s">
        <v>315</v>
      </c>
      <c r="D358" s="40" t="s">
        <v>134</v>
      </c>
      <c r="E358" s="40" t="s">
        <v>291</v>
      </c>
      <c r="F358" s="2"/>
      <c r="G358" s="10" t="e">
        <f>'Пр.4 ведом.20'!#REF!</f>
        <v>#REF!</v>
      </c>
    </row>
    <row r="359" spans="1:7" ht="63" hidden="1" x14ac:dyDescent="0.25">
      <c r="A359" s="29" t="s">
        <v>292</v>
      </c>
      <c r="B359" s="40" t="s">
        <v>627</v>
      </c>
      <c r="C359" s="40" t="s">
        <v>315</v>
      </c>
      <c r="D359" s="40" t="s">
        <v>134</v>
      </c>
      <c r="E359" s="40"/>
      <c r="F359" s="2"/>
      <c r="G359" s="10">
        <f>G360</f>
        <v>0</v>
      </c>
    </row>
    <row r="360" spans="1:7" ht="63" hidden="1" x14ac:dyDescent="0.25">
      <c r="A360" s="29" t="s">
        <v>288</v>
      </c>
      <c r="B360" s="40" t="s">
        <v>627</v>
      </c>
      <c r="C360" s="40" t="s">
        <v>315</v>
      </c>
      <c r="D360" s="40" t="s">
        <v>134</v>
      </c>
      <c r="E360" s="40" t="s">
        <v>289</v>
      </c>
      <c r="F360" s="2"/>
      <c r="G360" s="10">
        <f>G361</f>
        <v>0</v>
      </c>
    </row>
    <row r="361" spans="1:7" ht="15.75" hidden="1" x14ac:dyDescent="0.25">
      <c r="A361" s="29" t="s">
        <v>290</v>
      </c>
      <c r="B361" s="40" t="s">
        <v>627</v>
      </c>
      <c r="C361" s="40" t="s">
        <v>315</v>
      </c>
      <c r="D361" s="40" t="s">
        <v>134</v>
      </c>
      <c r="E361" s="40" t="s">
        <v>291</v>
      </c>
      <c r="F361" s="2"/>
      <c r="G361" s="10"/>
    </row>
    <row r="362" spans="1:7" ht="63" hidden="1" x14ac:dyDescent="0.25">
      <c r="A362" s="45" t="s">
        <v>277</v>
      </c>
      <c r="B362" s="40" t="s">
        <v>627</v>
      </c>
      <c r="C362" s="40" t="s">
        <v>315</v>
      </c>
      <c r="D362" s="40" t="s">
        <v>134</v>
      </c>
      <c r="E362" s="40"/>
      <c r="F362" s="2">
        <v>903</v>
      </c>
      <c r="G362" s="10">
        <v>0</v>
      </c>
    </row>
    <row r="363" spans="1:7" ht="31.5" x14ac:dyDescent="0.25">
      <c r="A363" s="29" t="s">
        <v>629</v>
      </c>
      <c r="B363" s="40" t="s">
        <v>322</v>
      </c>
      <c r="C363" s="40" t="s">
        <v>315</v>
      </c>
      <c r="D363" s="40" t="s">
        <v>134</v>
      </c>
      <c r="E363" s="40"/>
      <c r="F363" s="2"/>
      <c r="G363" s="10" t="e">
        <f>G364</f>
        <v>#REF!</v>
      </c>
    </row>
    <row r="364" spans="1:7" ht="71.45" customHeight="1" x14ac:dyDescent="0.25">
      <c r="A364" s="29" t="s">
        <v>288</v>
      </c>
      <c r="B364" s="40" t="s">
        <v>322</v>
      </c>
      <c r="C364" s="40" t="s">
        <v>315</v>
      </c>
      <c r="D364" s="40" t="s">
        <v>134</v>
      </c>
      <c r="E364" s="40" t="s">
        <v>289</v>
      </c>
      <c r="F364" s="2"/>
      <c r="G364" s="10" t="e">
        <f>G365</f>
        <v>#REF!</v>
      </c>
    </row>
    <row r="365" spans="1:7" ht="15.75" x14ac:dyDescent="0.25">
      <c r="A365" s="29" t="s">
        <v>290</v>
      </c>
      <c r="B365" s="40" t="s">
        <v>322</v>
      </c>
      <c r="C365" s="40" t="s">
        <v>315</v>
      </c>
      <c r="D365" s="40" t="s">
        <v>134</v>
      </c>
      <c r="E365" s="40" t="s">
        <v>291</v>
      </c>
      <c r="F365" s="2"/>
      <c r="G365" s="10" t="e">
        <f>'Пр.4 ведом.20'!#REF!</f>
        <v>#REF!</v>
      </c>
    </row>
    <row r="366" spans="1:7" ht="31.5" x14ac:dyDescent="0.25">
      <c r="A366" s="29" t="s">
        <v>323</v>
      </c>
      <c r="B366" s="40" t="s">
        <v>324</v>
      </c>
      <c r="C366" s="40" t="s">
        <v>315</v>
      </c>
      <c r="D366" s="40" t="s">
        <v>134</v>
      </c>
      <c r="E366" s="40"/>
      <c r="F366" s="2"/>
      <c r="G366" s="10" t="e">
        <f>G367</f>
        <v>#REF!</v>
      </c>
    </row>
    <row r="367" spans="1:7" ht="63" x14ac:dyDescent="0.25">
      <c r="A367" s="29" t="s">
        <v>288</v>
      </c>
      <c r="B367" s="40" t="s">
        <v>324</v>
      </c>
      <c r="C367" s="40" t="s">
        <v>315</v>
      </c>
      <c r="D367" s="40" t="s">
        <v>134</v>
      </c>
      <c r="E367" s="40" t="s">
        <v>289</v>
      </c>
      <c r="F367" s="2"/>
      <c r="G367" s="10" t="e">
        <f>G368</f>
        <v>#REF!</v>
      </c>
    </row>
    <row r="368" spans="1:7" ht="15.75" x14ac:dyDescent="0.25">
      <c r="A368" s="29" t="s">
        <v>290</v>
      </c>
      <c r="B368" s="40" t="s">
        <v>324</v>
      </c>
      <c r="C368" s="40" t="s">
        <v>315</v>
      </c>
      <c r="D368" s="40" t="s">
        <v>134</v>
      </c>
      <c r="E368" s="40" t="s">
        <v>291</v>
      </c>
      <c r="F368" s="2"/>
      <c r="G368" s="10" t="e">
        <f>'Пр.4 ведом.20'!#REF!</f>
        <v>#REF!</v>
      </c>
    </row>
    <row r="369" spans="1:7" ht="63" x14ac:dyDescent="0.25">
      <c r="A369" s="45" t="s">
        <v>277</v>
      </c>
      <c r="B369" s="40" t="s">
        <v>318</v>
      </c>
      <c r="C369" s="40" t="s">
        <v>315</v>
      </c>
      <c r="D369" s="40" t="s">
        <v>134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300</v>
      </c>
      <c r="B370" s="40" t="s">
        <v>628</v>
      </c>
      <c r="C370" s="40" t="s">
        <v>315</v>
      </c>
      <c r="D370" s="40" t="s">
        <v>134</v>
      </c>
      <c r="E370" s="40"/>
      <c r="F370" s="2"/>
      <c r="G370" s="10">
        <f>G371</f>
        <v>0</v>
      </c>
    </row>
    <row r="371" spans="1:7" ht="63" hidden="1" x14ac:dyDescent="0.25">
      <c r="A371" s="29" t="s">
        <v>288</v>
      </c>
      <c r="B371" s="40" t="s">
        <v>628</v>
      </c>
      <c r="C371" s="40" t="s">
        <v>315</v>
      </c>
      <c r="D371" s="40" t="s">
        <v>134</v>
      </c>
      <c r="E371" s="40" t="s">
        <v>289</v>
      </c>
      <c r="F371" s="2"/>
      <c r="G371" s="10">
        <f>G372</f>
        <v>0</v>
      </c>
    </row>
    <row r="372" spans="1:7" ht="15.75" hidden="1" x14ac:dyDescent="0.25">
      <c r="A372" s="29" t="s">
        <v>290</v>
      </c>
      <c r="B372" s="40" t="s">
        <v>628</v>
      </c>
      <c r="C372" s="40" t="s">
        <v>315</v>
      </c>
      <c r="D372" s="40" t="s">
        <v>134</v>
      </c>
      <c r="E372" s="40" t="s">
        <v>291</v>
      </c>
      <c r="F372" s="2"/>
      <c r="G372" s="10"/>
    </row>
    <row r="373" spans="1:7" ht="63" hidden="1" x14ac:dyDescent="0.25">
      <c r="A373" s="45" t="s">
        <v>277</v>
      </c>
      <c r="B373" s="40" t="s">
        <v>628</v>
      </c>
      <c r="C373" s="40" t="s">
        <v>315</v>
      </c>
      <c r="D373" s="40" t="s">
        <v>134</v>
      </c>
      <c r="E373" s="40"/>
      <c r="F373" s="2">
        <v>903</v>
      </c>
      <c r="G373" s="10">
        <v>0</v>
      </c>
    </row>
    <row r="374" spans="1:7" ht="63" x14ac:dyDescent="0.25">
      <c r="A374" s="41" t="s">
        <v>328</v>
      </c>
      <c r="B374" s="7" t="s">
        <v>329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314</v>
      </c>
      <c r="B375" s="40" t="s">
        <v>329</v>
      </c>
      <c r="C375" s="40" t="s">
        <v>315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316</v>
      </c>
      <c r="B376" s="40" t="s">
        <v>329</v>
      </c>
      <c r="C376" s="40" t="s">
        <v>315</v>
      </c>
      <c r="D376" s="40" t="s">
        <v>134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319</v>
      </c>
      <c r="B377" s="40" t="s">
        <v>330</v>
      </c>
      <c r="C377" s="40" t="s">
        <v>315</v>
      </c>
      <c r="D377" s="40" t="s">
        <v>134</v>
      </c>
      <c r="E377" s="40"/>
      <c r="F377" s="74"/>
      <c r="G377" s="10" t="e">
        <f>G378</f>
        <v>#REF!</v>
      </c>
    </row>
    <row r="378" spans="1:7" ht="63" x14ac:dyDescent="0.25">
      <c r="A378" s="29" t="s">
        <v>288</v>
      </c>
      <c r="B378" s="40" t="s">
        <v>330</v>
      </c>
      <c r="C378" s="40" t="s">
        <v>315</v>
      </c>
      <c r="D378" s="40" t="s">
        <v>134</v>
      </c>
      <c r="E378" s="40" t="s">
        <v>289</v>
      </c>
      <c r="F378" s="74"/>
      <c r="G378" s="10" t="e">
        <f>G379</f>
        <v>#REF!</v>
      </c>
    </row>
    <row r="379" spans="1:7" ht="15.75" x14ac:dyDescent="0.25">
      <c r="A379" s="29" t="s">
        <v>290</v>
      </c>
      <c r="B379" s="40" t="s">
        <v>330</v>
      </c>
      <c r="C379" s="40" t="s">
        <v>315</v>
      </c>
      <c r="D379" s="40" t="s">
        <v>134</v>
      </c>
      <c r="E379" s="40" t="s">
        <v>291</v>
      </c>
      <c r="F379" s="74"/>
      <c r="G379" s="6" t="e">
        <f>'Пр.4 ведом.20'!#REF!</f>
        <v>#REF!</v>
      </c>
    </row>
    <row r="380" spans="1:7" ht="63" x14ac:dyDescent="0.25">
      <c r="A380" s="29" t="s">
        <v>292</v>
      </c>
      <c r="B380" s="40" t="s">
        <v>333</v>
      </c>
      <c r="C380" s="40" t="s">
        <v>315</v>
      </c>
      <c r="D380" s="40" t="s">
        <v>134</v>
      </c>
      <c r="E380" s="40"/>
      <c r="F380" s="74"/>
      <c r="G380" s="10" t="e">
        <f>G381</f>
        <v>#REF!</v>
      </c>
    </row>
    <row r="381" spans="1:7" ht="63" x14ac:dyDescent="0.25">
      <c r="A381" s="29" t="s">
        <v>288</v>
      </c>
      <c r="B381" s="40" t="s">
        <v>333</v>
      </c>
      <c r="C381" s="40" t="s">
        <v>315</v>
      </c>
      <c r="D381" s="40" t="s">
        <v>134</v>
      </c>
      <c r="E381" s="40" t="s">
        <v>289</v>
      </c>
      <c r="F381" s="74"/>
      <c r="G381" s="10" t="e">
        <f>G382</f>
        <v>#REF!</v>
      </c>
    </row>
    <row r="382" spans="1:7" ht="15.75" x14ac:dyDescent="0.25">
      <c r="A382" s="29" t="s">
        <v>290</v>
      </c>
      <c r="B382" s="40" t="s">
        <v>333</v>
      </c>
      <c r="C382" s="40" t="s">
        <v>315</v>
      </c>
      <c r="D382" s="40" t="s">
        <v>134</v>
      </c>
      <c r="E382" s="40" t="s">
        <v>291</v>
      </c>
      <c r="F382" s="74"/>
      <c r="G382" s="10" t="e">
        <f>'Пр.4 ведом.20'!#REF!</f>
        <v>#REF!</v>
      </c>
    </row>
    <row r="383" spans="1:7" ht="63" hidden="1" x14ac:dyDescent="0.25">
      <c r="A383" s="45" t="s">
        <v>277</v>
      </c>
      <c r="B383" s="40" t="s">
        <v>669</v>
      </c>
      <c r="C383" s="40" t="s">
        <v>315</v>
      </c>
      <c r="D383" s="40" t="s">
        <v>134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294</v>
      </c>
      <c r="B384" s="40" t="s">
        <v>334</v>
      </c>
      <c r="C384" s="40" t="s">
        <v>315</v>
      </c>
      <c r="D384" s="40" t="s">
        <v>134</v>
      </c>
      <c r="E384" s="40"/>
      <c r="F384" s="74"/>
      <c r="G384" s="10">
        <f>G385</f>
        <v>0</v>
      </c>
    </row>
    <row r="385" spans="1:7" ht="63" hidden="1" x14ac:dyDescent="0.25">
      <c r="A385" s="29" t="s">
        <v>288</v>
      </c>
      <c r="B385" s="40" t="s">
        <v>334</v>
      </c>
      <c r="C385" s="40" t="s">
        <v>315</v>
      </c>
      <c r="D385" s="40" t="s">
        <v>134</v>
      </c>
      <c r="E385" s="40" t="s">
        <v>289</v>
      </c>
      <c r="F385" s="74"/>
      <c r="G385" s="10">
        <f>G386</f>
        <v>0</v>
      </c>
    </row>
    <row r="386" spans="1:7" ht="35.450000000000003" hidden="1" customHeight="1" x14ac:dyDescent="0.25">
      <c r="A386" s="29" t="s">
        <v>290</v>
      </c>
      <c r="B386" s="40" t="s">
        <v>334</v>
      </c>
      <c r="C386" s="40" t="s">
        <v>315</v>
      </c>
      <c r="D386" s="40" t="s">
        <v>134</v>
      </c>
      <c r="E386" s="40" t="s">
        <v>291</v>
      </c>
      <c r="F386" s="74"/>
      <c r="G386" s="10"/>
    </row>
    <row r="387" spans="1:7" ht="63" hidden="1" x14ac:dyDescent="0.25">
      <c r="A387" s="45" t="s">
        <v>277</v>
      </c>
      <c r="B387" s="40" t="s">
        <v>334</v>
      </c>
      <c r="C387" s="40" t="s">
        <v>315</v>
      </c>
      <c r="D387" s="40" t="s">
        <v>134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670</v>
      </c>
      <c r="B388" s="40" t="s">
        <v>335</v>
      </c>
      <c r="C388" s="40" t="s">
        <v>315</v>
      </c>
      <c r="D388" s="40" t="s">
        <v>134</v>
      </c>
      <c r="E388" s="40"/>
      <c r="F388" s="74"/>
      <c r="G388" s="10">
        <f>G389</f>
        <v>0</v>
      </c>
    </row>
    <row r="389" spans="1:7" ht="63" hidden="1" x14ac:dyDescent="0.25">
      <c r="A389" s="29" t="s">
        <v>288</v>
      </c>
      <c r="B389" s="40" t="s">
        <v>335</v>
      </c>
      <c r="C389" s="40" t="s">
        <v>315</v>
      </c>
      <c r="D389" s="40" t="s">
        <v>134</v>
      </c>
      <c r="E389" s="40" t="s">
        <v>289</v>
      </c>
      <c r="F389" s="74"/>
      <c r="G389" s="10">
        <f>G390</f>
        <v>0</v>
      </c>
    </row>
    <row r="390" spans="1:7" ht="15.75" hidden="1" x14ac:dyDescent="0.25">
      <c r="A390" s="29" t="s">
        <v>290</v>
      </c>
      <c r="B390" s="40" t="s">
        <v>335</v>
      </c>
      <c r="C390" s="40" t="s">
        <v>315</v>
      </c>
      <c r="D390" s="40" t="s">
        <v>134</v>
      </c>
      <c r="E390" s="40" t="s">
        <v>291</v>
      </c>
      <c r="F390" s="74"/>
      <c r="G390" s="10"/>
    </row>
    <row r="391" spans="1:7" ht="63" hidden="1" x14ac:dyDescent="0.25">
      <c r="A391" s="45" t="s">
        <v>277</v>
      </c>
      <c r="B391" s="40" t="s">
        <v>335</v>
      </c>
      <c r="C391" s="40" t="s">
        <v>315</v>
      </c>
      <c r="D391" s="40" t="s">
        <v>134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300</v>
      </c>
      <c r="B392" s="40" t="s">
        <v>630</v>
      </c>
      <c r="C392" s="40" t="s">
        <v>315</v>
      </c>
      <c r="D392" s="40" t="s">
        <v>134</v>
      </c>
      <c r="E392" s="40"/>
      <c r="F392" s="74"/>
      <c r="G392" s="10">
        <f>G393</f>
        <v>0</v>
      </c>
    </row>
    <row r="393" spans="1:7" ht="63" hidden="1" x14ac:dyDescent="0.25">
      <c r="A393" s="29" t="s">
        <v>288</v>
      </c>
      <c r="B393" s="40" t="s">
        <v>630</v>
      </c>
      <c r="C393" s="40" t="s">
        <v>315</v>
      </c>
      <c r="D393" s="40" t="s">
        <v>134</v>
      </c>
      <c r="E393" s="40" t="s">
        <v>289</v>
      </c>
      <c r="F393" s="74"/>
      <c r="G393" s="10">
        <f>G394</f>
        <v>0</v>
      </c>
    </row>
    <row r="394" spans="1:7" ht="15.75" hidden="1" x14ac:dyDescent="0.25">
      <c r="A394" s="29" t="s">
        <v>290</v>
      </c>
      <c r="B394" s="40" t="s">
        <v>630</v>
      </c>
      <c r="C394" s="40" t="s">
        <v>315</v>
      </c>
      <c r="D394" s="40" t="s">
        <v>134</v>
      </c>
      <c r="E394" s="40" t="s">
        <v>291</v>
      </c>
      <c r="F394" s="74"/>
      <c r="G394" s="10"/>
    </row>
    <row r="395" spans="1:7" ht="63" hidden="1" x14ac:dyDescent="0.25">
      <c r="A395" s="45" t="s">
        <v>277</v>
      </c>
      <c r="B395" s="40" t="s">
        <v>630</v>
      </c>
      <c r="C395" s="40" t="s">
        <v>315</v>
      </c>
      <c r="D395" s="40" t="s">
        <v>134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671</v>
      </c>
      <c r="B396" s="40" t="s">
        <v>332</v>
      </c>
      <c r="C396" s="40" t="s">
        <v>315</v>
      </c>
      <c r="D396" s="40" t="s">
        <v>134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147</v>
      </c>
      <c r="B397" s="40" t="s">
        <v>332</v>
      </c>
      <c r="C397" s="40" t="s">
        <v>315</v>
      </c>
      <c r="D397" s="40" t="s">
        <v>134</v>
      </c>
      <c r="E397" s="40" t="s">
        <v>148</v>
      </c>
      <c r="F397" s="2"/>
      <c r="G397" s="10">
        <f>G398</f>
        <v>0</v>
      </c>
    </row>
    <row r="398" spans="1:7" ht="47.25" hidden="1" x14ac:dyDescent="0.25">
      <c r="A398" s="29" t="s">
        <v>149</v>
      </c>
      <c r="B398" s="40" t="s">
        <v>332</v>
      </c>
      <c r="C398" s="40" t="s">
        <v>315</v>
      </c>
      <c r="D398" s="40" t="s">
        <v>134</v>
      </c>
      <c r="E398" s="40" t="s">
        <v>150</v>
      </c>
      <c r="F398" s="2"/>
      <c r="G398" s="10">
        <v>0</v>
      </c>
    </row>
    <row r="399" spans="1:7" ht="62.45" customHeight="1" x14ac:dyDescent="0.25">
      <c r="A399" s="29" t="s">
        <v>288</v>
      </c>
      <c r="B399" s="40" t="s">
        <v>332</v>
      </c>
      <c r="C399" s="40" t="s">
        <v>315</v>
      </c>
      <c r="D399" s="40" t="s">
        <v>134</v>
      </c>
      <c r="E399" s="40" t="s">
        <v>289</v>
      </c>
      <c r="F399" s="2"/>
      <c r="G399" s="10" t="e">
        <f>G400</f>
        <v>#REF!</v>
      </c>
    </row>
    <row r="400" spans="1:7" ht="15.75" x14ac:dyDescent="0.25">
      <c r="A400" s="29" t="s">
        <v>290</v>
      </c>
      <c r="B400" s="40" t="s">
        <v>332</v>
      </c>
      <c r="C400" s="40" t="s">
        <v>315</v>
      </c>
      <c r="D400" s="40" t="s">
        <v>134</v>
      </c>
      <c r="E400" s="40" t="s">
        <v>291</v>
      </c>
      <c r="F400" s="2"/>
      <c r="G400" s="10" t="e">
        <f>'Пр.4 ведом.20'!#REF!</f>
        <v>#REF!</v>
      </c>
    </row>
    <row r="401" spans="1:7" ht="15.75" x14ac:dyDescent="0.25">
      <c r="A401" s="25" t="s">
        <v>700</v>
      </c>
      <c r="B401" s="20" t="s">
        <v>701</v>
      </c>
      <c r="C401" s="40" t="s">
        <v>315</v>
      </c>
      <c r="D401" s="40" t="s">
        <v>134</v>
      </c>
      <c r="E401" s="40"/>
      <c r="F401" s="2"/>
      <c r="G401" s="10" t="e">
        <f>G402</f>
        <v>#REF!</v>
      </c>
    </row>
    <row r="402" spans="1:7" ht="63" x14ac:dyDescent="0.25">
      <c r="A402" s="25" t="s">
        <v>288</v>
      </c>
      <c r="B402" s="20" t="s">
        <v>701</v>
      </c>
      <c r="C402" s="40" t="s">
        <v>315</v>
      </c>
      <c r="D402" s="40" t="s">
        <v>134</v>
      </c>
      <c r="E402" s="40" t="s">
        <v>289</v>
      </c>
      <c r="F402" s="2"/>
      <c r="G402" s="10" t="e">
        <f>G403</f>
        <v>#REF!</v>
      </c>
    </row>
    <row r="403" spans="1:7" ht="15.75" x14ac:dyDescent="0.25">
      <c r="A403" s="25" t="s">
        <v>290</v>
      </c>
      <c r="B403" s="20" t="s">
        <v>701</v>
      </c>
      <c r="C403" s="40" t="s">
        <v>315</v>
      </c>
      <c r="D403" s="40" t="s">
        <v>134</v>
      </c>
      <c r="E403" s="40" t="s">
        <v>291</v>
      </c>
      <c r="F403" s="2"/>
      <c r="G403" s="10" t="e">
        <f>'Пр.4 ведом.20'!#REF!</f>
        <v>#REF!</v>
      </c>
    </row>
    <row r="404" spans="1:7" ht="63" x14ac:dyDescent="0.25">
      <c r="A404" s="45" t="s">
        <v>277</v>
      </c>
      <c r="B404" s="40" t="s">
        <v>329</v>
      </c>
      <c r="C404" s="40" t="s">
        <v>315</v>
      </c>
      <c r="D404" s="40" t="s">
        <v>134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337</v>
      </c>
      <c r="B405" s="40" t="s">
        <v>338</v>
      </c>
      <c r="C405" s="40" t="s">
        <v>315</v>
      </c>
      <c r="D405" s="40" t="s">
        <v>134</v>
      </c>
      <c r="E405" s="40"/>
      <c r="F405" s="2"/>
      <c r="G405" s="10">
        <f>G406</f>
        <v>0</v>
      </c>
    </row>
    <row r="406" spans="1:7" ht="63" hidden="1" x14ac:dyDescent="0.25">
      <c r="A406" s="29" t="s">
        <v>288</v>
      </c>
      <c r="B406" s="40" t="s">
        <v>338</v>
      </c>
      <c r="C406" s="40" t="s">
        <v>315</v>
      </c>
      <c r="D406" s="40" t="s">
        <v>134</v>
      </c>
      <c r="E406" s="40" t="s">
        <v>289</v>
      </c>
      <c r="F406" s="2"/>
      <c r="G406" s="10"/>
    </row>
    <row r="407" spans="1:7" ht="15.75" hidden="1" x14ac:dyDescent="0.25">
      <c r="A407" s="29" t="s">
        <v>290</v>
      </c>
      <c r="B407" s="40" t="s">
        <v>338</v>
      </c>
      <c r="C407" s="40" t="s">
        <v>315</v>
      </c>
      <c r="D407" s="40" t="s">
        <v>134</v>
      </c>
      <c r="E407" s="40" t="s">
        <v>291</v>
      </c>
      <c r="F407" s="2"/>
      <c r="G407" s="10"/>
    </row>
    <row r="408" spans="1:7" ht="63" hidden="1" x14ac:dyDescent="0.25">
      <c r="A408" s="45" t="s">
        <v>277</v>
      </c>
      <c r="B408" s="40" t="s">
        <v>338</v>
      </c>
      <c r="C408" s="40" t="s">
        <v>315</v>
      </c>
      <c r="D408" s="40" t="s">
        <v>134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339</v>
      </c>
      <c r="B409" s="7" t="s">
        <v>340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314</v>
      </c>
      <c r="B410" s="40" t="s">
        <v>340</v>
      </c>
      <c r="C410" s="40" t="s">
        <v>315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316</v>
      </c>
      <c r="B411" s="40" t="s">
        <v>340</v>
      </c>
      <c r="C411" s="40" t="s">
        <v>315</v>
      </c>
      <c r="D411" s="40" t="s">
        <v>134</v>
      </c>
      <c r="E411" s="73"/>
      <c r="F411" s="73"/>
      <c r="G411" s="10" t="e">
        <f>G412</f>
        <v>#REF!</v>
      </c>
    </row>
    <row r="412" spans="1:7" ht="63" x14ac:dyDescent="0.25">
      <c r="A412" s="29" t="s">
        <v>341</v>
      </c>
      <c r="B412" s="40" t="s">
        <v>342</v>
      </c>
      <c r="C412" s="40" t="s">
        <v>315</v>
      </c>
      <c r="D412" s="40" t="s">
        <v>134</v>
      </c>
      <c r="E412" s="73"/>
      <c r="F412" s="73"/>
      <c r="G412" s="10" t="e">
        <f>G413</f>
        <v>#REF!</v>
      </c>
    </row>
    <row r="413" spans="1:7" ht="63" x14ac:dyDescent="0.25">
      <c r="A413" s="25" t="s">
        <v>288</v>
      </c>
      <c r="B413" s="40" t="s">
        <v>342</v>
      </c>
      <c r="C413" s="40" t="s">
        <v>315</v>
      </c>
      <c r="D413" s="40" t="s">
        <v>134</v>
      </c>
      <c r="E413" s="40" t="s">
        <v>289</v>
      </c>
      <c r="F413" s="73"/>
      <c r="G413" s="10" t="e">
        <f>G414</f>
        <v>#REF!</v>
      </c>
    </row>
    <row r="414" spans="1:7" ht="15.75" x14ac:dyDescent="0.25">
      <c r="A414" s="25" t="s">
        <v>290</v>
      </c>
      <c r="B414" s="40" t="s">
        <v>342</v>
      </c>
      <c r="C414" s="40" t="s">
        <v>315</v>
      </c>
      <c r="D414" s="40" t="s">
        <v>134</v>
      </c>
      <c r="E414" s="40" t="s">
        <v>291</v>
      </c>
      <c r="F414" s="73"/>
      <c r="G414" s="10" t="e">
        <f>'Пр.4 ведом.20'!#REF!</f>
        <v>#REF!</v>
      </c>
    </row>
    <row r="415" spans="1:7" ht="63" hidden="1" x14ac:dyDescent="0.25">
      <c r="A415" s="45" t="s">
        <v>672</v>
      </c>
      <c r="B415" s="40" t="s">
        <v>342</v>
      </c>
      <c r="C415" s="40" t="s">
        <v>315</v>
      </c>
      <c r="D415" s="40" t="s">
        <v>134</v>
      </c>
      <c r="E415" s="40"/>
      <c r="F415" s="73"/>
      <c r="G415" s="10">
        <f>G416</f>
        <v>0</v>
      </c>
    </row>
    <row r="416" spans="1:7" ht="63" hidden="1" x14ac:dyDescent="0.25">
      <c r="A416" s="29" t="s">
        <v>288</v>
      </c>
      <c r="B416" s="40" t="s">
        <v>342</v>
      </c>
      <c r="C416" s="40" t="s">
        <v>315</v>
      </c>
      <c r="D416" s="40" t="s">
        <v>134</v>
      </c>
      <c r="E416" s="40" t="s">
        <v>289</v>
      </c>
      <c r="F416" s="73"/>
      <c r="G416" s="10">
        <f>G417</f>
        <v>0</v>
      </c>
    </row>
    <row r="417" spans="1:7" ht="15.75" hidden="1" x14ac:dyDescent="0.25">
      <c r="A417" s="29" t="s">
        <v>290</v>
      </c>
      <c r="B417" s="40" t="s">
        <v>342</v>
      </c>
      <c r="C417" s="40" t="s">
        <v>315</v>
      </c>
      <c r="D417" s="40" t="s">
        <v>134</v>
      </c>
      <c r="E417" s="40" t="s">
        <v>291</v>
      </c>
      <c r="F417" s="73"/>
      <c r="G417" s="10"/>
    </row>
    <row r="418" spans="1:7" ht="63" x14ac:dyDescent="0.25">
      <c r="A418" s="45" t="s">
        <v>277</v>
      </c>
      <c r="B418" s="40" t="s">
        <v>340</v>
      </c>
      <c r="C418" s="40" t="s">
        <v>315</v>
      </c>
      <c r="D418" s="40" t="s">
        <v>134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558</v>
      </c>
      <c r="B419" s="7" t="s">
        <v>559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560</v>
      </c>
      <c r="B420" s="7" t="s">
        <v>561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406</v>
      </c>
      <c r="B421" s="40" t="s">
        <v>561</v>
      </c>
      <c r="C421" s="40" t="s">
        <v>250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557</v>
      </c>
      <c r="B422" s="40" t="s">
        <v>561</v>
      </c>
      <c r="C422" s="40" t="s">
        <v>250</v>
      </c>
      <c r="D422" s="40" t="s">
        <v>231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562</v>
      </c>
      <c r="B423" s="20" t="s">
        <v>563</v>
      </c>
      <c r="C423" s="40" t="s">
        <v>250</v>
      </c>
      <c r="D423" s="40" t="s">
        <v>231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147</v>
      </c>
      <c r="B424" s="20" t="s">
        <v>563</v>
      </c>
      <c r="C424" s="40" t="s">
        <v>250</v>
      </c>
      <c r="D424" s="40" t="s">
        <v>231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149</v>
      </c>
      <c r="B425" s="20" t="s">
        <v>563</v>
      </c>
      <c r="C425" s="40" t="s">
        <v>250</v>
      </c>
      <c r="D425" s="40" t="s">
        <v>231</v>
      </c>
      <c r="E425" s="2">
        <v>240</v>
      </c>
      <c r="F425" s="2"/>
      <c r="G425" s="10" t="e">
        <f>'Пр.4 ведом.20'!#REF!</f>
        <v>#REF!</v>
      </c>
    </row>
    <row r="426" spans="1:7" ht="31.7" customHeight="1" x14ac:dyDescent="0.25">
      <c r="A426" s="25" t="s">
        <v>564</v>
      </c>
      <c r="B426" s="20" t="s">
        <v>565</v>
      </c>
      <c r="C426" s="40" t="s">
        <v>250</v>
      </c>
      <c r="D426" s="40" t="s">
        <v>231</v>
      </c>
      <c r="E426" s="2"/>
      <c r="F426" s="2"/>
      <c r="G426" s="10" t="e">
        <f>G427</f>
        <v>#REF!</v>
      </c>
    </row>
    <row r="427" spans="1:7" ht="47.25" x14ac:dyDescent="0.25">
      <c r="A427" s="25" t="s">
        <v>147</v>
      </c>
      <c r="B427" s="20" t="s">
        <v>565</v>
      </c>
      <c r="C427" s="40" t="s">
        <v>250</v>
      </c>
      <c r="D427" s="40" t="s">
        <v>231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149</v>
      </c>
      <c r="B428" s="20" t="s">
        <v>565</v>
      </c>
      <c r="C428" s="40" t="s">
        <v>250</v>
      </c>
      <c r="D428" s="40" t="s">
        <v>231</v>
      </c>
      <c r="E428" s="2">
        <v>240</v>
      </c>
      <c r="F428" s="2"/>
      <c r="G428" s="10" t="e">
        <f>'Пр.4 ведом.20'!#REF!</f>
        <v>#REF!</v>
      </c>
    </row>
    <row r="429" spans="1:7" ht="31.5" x14ac:dyDescent="0.25">
      <c r="A429" s="25" t="s">
        <v>566</v>
      </c>
      <c r="B429" s="20" t="s">
        <v>567</v>
      </c>
      <c r="C429" s="40" t="s">
        <v>250</v>
      </c>
      <c r="D429" s="40" t="s">
        <v>231</v>
      </c>
      <c r="E429" s="2"/>
      <c r="F429" s="2"/>
      <c r="G429" s="10" t="e">
        <f>G430</f>
        <v>#REF!</v>
      </c>
    </row>
    <row r="430" spans="1:7" ht="47.25" x14ac:dyDescent="0.25">
      <c r="A430" s="25" t="s">
        <v>147</v>
      </c>
      <c r="B430" s="20" t="s">
        <v>567</v>
      </c>
      <c r="C430" s="40" t="s">
        <v>250</v>
      </c>
      <c r="D430" s="40" t="s">
        <v>231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149</v>
      </c>
      <c r="B431" s="20" t="s">
        <v>567</v>
      </c>
      <c r="C431" s="40" t="s">
        <v>250</v>
      </c>
      <c r="D431" s="40" t="s">
        <v>231</v>
      </c>
      <c r="E431" s="2">
        <v>240</v>
      </c>
      <c r="F431" s="2"/>
      <c r="G431" s="10" t="e">
        <f>'Пр.4 ведом.20'!#REF!</f>
        <v>#REF!</v>
      </c>
    </row>
    <row r="432" spans="1:7" ht="47.25" x14ac:dyDescent="0.25">
      <c r="A432" s="45" t="s">
        <v>640</v>
      </c>
      <c r="B432" s="40" t="s">
        <v>561</v>
      </c>
      <c r="C432" s="40" t="s">
        <v>250</v>
      </c>
      <c r="D432" s="40" t="s">
        <v>231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568</v>
      </c>
      <c r="B433" s="7" t="s">
        <v>569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406</v>
      </c>
      <c r="B434" s="40" t="s">
        <v>569</v>
      </c>
      <c r="C434" s="40" t="s">
        <v>250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557</v>
      </c>
      <c r="B435" s="40" t="s">
        <v>569</v>
      </c>
      <c r="C435" s="40" t="s">
        <v>250</v>
      </c>
      <c r="D435" s="40" t="s">
        <v>231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566</v>
      </c>
      <c r="B436" s="20" t="s">
        <v>570</v>
      </c>
      <c r="C436" s="40" t="s">
        <v>250</v>
      </c>
      <c r="D436" s="40" t="s">
        <v>231</v>
      </c>
      <c r="E436" s="2"/>
      <c r="F436" s="2"/>
      <c r="G436" s="10" t="e">
        <f>G437+G439</f>
        <v>#REF!</v>
      </c>
    </row>
    <row r="437" spans="1:7" ht="110.25" x14ac:dyDescent="0.25">
      <c r="A437" s="25" t="s">
        <v>143</v>
      </c>
      <c r="B437" s="20" t="s">
        <v>570</v>
      </c>
      <c r="C437" s="40" t="s">
        <v>250</v>
      </c>
      <c r="D437" s="40" t="s">
        <v>231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358</v>
      </c>
      <c r="B438" s="20" t="s">
        <v>570</v>
      </c>
      <c r="C438" s="40" t="s">
        <v>250</v>
      </c>
      <c r="D438" s="40" t="s">
        <v>231</v>
      </c>
      <c r="E438" s="2">
        <v>110</v>
      </c>
      <c r="F438" s="2"/>
      <c r="G438" s="10" t="e">
        <f>'Пр.4 ведом.20'!#REF!</f>
        <v>#REF!</v>
      </c>
    </row>
    <row r="439" spans="1:7" ht="47.25" x14ac:dyDescent="0.25">
      <c r="A439" s="25" t="s">
        <v>147</v>
      </c>
      <c r="B439" s="20" t="s">
        <v>570</v>
      </c>
      <c r="C439" s="40" t="s">
        <v>250</v>
      </c>
      <c r="D439" s="40" t="s">
        <v>231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149</v>
      </c>
      <c r="B440" s="20" t="s">
        <v>570</v>
      </c>
      <c r="C440" s="40" t="s">
        <v>250</v>
      </c>
      <c r="D440" s="40" t="s">
        <v>231</v>
      </c>
      <c r="E440" s="2">
        <v>240</v>
      </c>
      <c r="F440" s="2"/>
      <c r="G440" s="10" t="e">
        <f>'Пр.4 ведом.20'!#REF!</f>
        <v>#REF!</v>
      </c>
    </row>
    <row r="441" spans="1:7" ht="15.75" x14ac:dyDescent="0.25">
      <c r="A441" s="25" t="s">
        <v>571</v>
      </c>
      <c r="B441" s="20" t="s">
        <v>572</v>
      </c>
      <c r="C441" s="40" t="s">
        <v>250</v>
      </c>
      <c r="D441" s="40" t="s">
        <v>231</v>
      </c>
      <c r="E441" s="2"/>
      <c r="F441" s="2"/>
      <c r="G441" s="10" t="e">
        <f>G442</f>
        <v>#REF!</v>
      </c>
    </row>
    <row r="442" spans="1:7" ht="47.25" x14ac:dyDescent="0.25">
      <c r="A442" s="25" t="s">
        <v>147</v>
      </c>
      <c r="B442" s="20" t="s">
        <v>572</v>
      </c>
      <c r="C442" s="40" t="s">
        <v>250</v>
      </c>
      <c r="D442" s="40" t="s">
        <v>231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149</v>
      </c>
      <c r="B443" s="20" t="s">
        <v>572</v>
      </c>
      <c r="C443" s="40" t="s">
        <v>250</v>
      </c>
      <c r="D443" s="40" t="s">
        <v>231</v>
      </c>
      <c r="E443" s="2">
        <v>240</v>
      </c>
      <c r="F443" s="2"/>
      <c r="G443" s="10" t="e">
        <f>'Пр.4 ведом.20'!#REF!</f>
        <v>#REF!</v>
      </c>
    </row>
    <row r="444" spans="1:7" ht="63" x14ac:dyDescent="0.25">
      <c r="A444" s="99" t="s">
        <v>573</v>
      </c>
      <c r="B444" s="20" t="s">
        <v>574</v>
      </c>
      <c r="C444" s="40" t="s">
        <v>250</v>
      </c>
      <c r="D444" s="40" t="s">
        <v>231</v>
      </c>
      <c r="E444" s="2"/>
      <c r="F444" s="2"/>
      <c r="G444" s="10" t="e">
        <f>G445</f>
        <v>#REF!</v>
      </c>
    </row>
    <row r="445" spans="1:7" ht="47.25" x14ac:dyDescent="0.25">
      <c r="A445" s="25" t="s">
        <v>147</v>
      </c>
      <c r="B445" s="20" t="s">
        <v>574</v>
      </c>
      <c r="C445" s="40" t="s">
        <v>250</v>
      </c>
      <c r="D445" s="40" t="s">
        <v>231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149</v>
      </c>
      <c r="B446" s="20" t="s">
        <v>574</v>
      </c>
      <c r="C446" s="40" t="s">
        <v>250</v>
      </c>
      <c r="D446" s="40" t="s">
        <v>231</v>
      </c>
      <c r="E446" s="2">
        <v>240</v>
      </c>
      <c r="F446" s="2"/>
      <c r="G446" s="10" t="e">
        <f>'Пр.4 ведом.20'!#REF!</f>
        <v>#REF!</v>
      </c>
    </row>
    <row r="447" spans="1:7" ht="31.5" x14ac:dyDescent="0.25">
      <c r="A447" s="99" t="s">
        <v>575</v>
      </c>
      <c r="B447" s="20" t="s">
        <v>576</v>
      </c>
      <c r="C447" s="40" t="s">
        <v>250</v>
      </c>
      <c r="D447" s="40" t="s">
        <v>231</v>
      </c>
      <c r="E447" s="2"/>
      <c r="F447" s="2"/>
      <c r="G447" s="10" t="e">
        <f>G448</f>
        <v>#REF!</v>
      </c>
    </row>
    <row r="448" spans="1:7" ht="47.25" x14ac:dyDescent="0.25">
      <c r="A448" s="25" t="s">
        <v>147</v>
      </c>
      <c r="B448" s="20" t="s">
        <v>576</v>
      </c>
      <c r="C448" s="40" t="s">
        <v>250</v>
      </c>
      <c r="D448" s="40" t="s">
        <v>231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149</v>
      </c>
      <c r="B449" s="20" t="s">
        <v>576</v>
      </c>
      <c r="C449" s="40" t="s">
        <v>250</v>
      </c>
      <c r="D449" s="40" t="s">
        <v>231</v>
      </c>
      <c r="E449" s="2">
        <v>240</v>
      </c>
      <c r="F449" s="2"/>
      <c r="G449" s="10" t="e">
        <f>'Пр.4 ведом.20'!#REF!</f>
        <v>#REF!</v>
      </c>
    </row>
    <row r="450" spans="1:7" ht="47.25" x14ac:dyDescent="0.25">
      <c r="A450" s="45" t="s">
        <v>640</v>
      </c>
      <c r="B450" s="20" t="s">
        <v>569</v>
      </c>
      <c r="C450" s="40" t="s">
        <v>250</v>
      </c>
      <c r="D450" s="40" t="s">
        <v>231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197</v>
      </c>
      <c r="B451" s="176" t="s">
        <v>198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133</v>
      </c>
      <c r="B452" s="5" t="s">
        <v>198</v>
      </c>
      <c r="C452" s="40" t="s">
        <v>134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155</v>
      </c>
      <c r="B453" s="30" t="s">
        <v>198</v>
      </c>
      <c r="C453" s="40" t="s">
        <v>134</v>
      </c>
      <c r="D453" s="40" t="s">
        <v>156</v>
      </c>
      <c r="E453" s="40"/>
      <c r="F453" s="2"/>
      <c r="G453" s="10" t="e">
        <f>G454</f>
        <v>#REF!</v>
      </c>
    </row>
    <row r="454" spans="1:7" ht="47.25" x14ac:dyDescent="0.25">
      <c r="A454" s="29" t="s">
        <v>173</v>
      </c>
      <c r="B454" s="20" t="s">
        <v>199</v>
      </c>
      <c r="C454" s="40" t="s">
        <v>134</v>
      </c>
      <c r="D454" s="40" t="s">
        <v>156</v>
      </c>
      <c r="E454" s="40"/>
      <c r="F454" s="2"/>
      <c r="G454" s="10" t="e">
        <f>G455</f>
        <v>#REF!</v>
      </c>
    </row>
    <row r="455" spans="1:7" ht="47.25" x14ac:dyDescent="0.25">
      <c r="A455" s="29" t="s">
        <v>147</v>
      </c>
      <c r="B455" s="20" t="s">
        <v>199</v>
      </c>
      <c r="C455" s="40" t="s">
        <v>134</v>
      </c>
      <c r="D455" s="40" t="s">
        <v>156</v>
      </c>
      <c r="E455" s="40" t="s">
        <v>161</v>
      </c>
      <c r="F455" s="2"/>
      <c r="G455" s="10" t="e">
        <f>G456</f>
        <v>#REF!</v>
      </c>
    </row>
    <row r="456" spans="1:7" ht="78.75" x14ac:dyDescent="0.25">
      <c r="A456" s="29" t="s">
        <v>200</v>
      </c>
      <c r="B456" s="20" t="s">
        <v>199</v>
      </c>
      <c r="C456" s="40" t="s">
        <v>134</v>
      </c>
      <c r="D456" s="40" t="s">
        <v>156</v>
      </c>
      <c r="E456" s="40" t="s">
        <v>176</v>
      </c>
      <c r="F456" s="2"/>
      <c r="G456" s="10" t="e">
        <f>'Пр.4 ведом.20'!#REF!</f>
        <v>#REF!</v>
      </c>
    </row>
    <row r="457" spans="1:7" ht="31.5" x14ac:dyDescent="0.25">
      <c r="A457" s="29" t="s">
        <v>164</v>
      </c>
      <c r="B457" s="30" t="s">
        <v>198</v>
      </c>
      <c r="C457" s="40" t="s">
        <v>134</v>
      </c>
      <c r="D457" s="40" t="s">
        <v>156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673</v>
      </c>
      <c r="B458" s="7" t="s">
        <v>534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406</v>
      </c>
      <c r="B459" s="40" t="s">
        <v>534</v>
      </c>
      <c r="C459" s="40" t="s">
        <v>250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533</v>
      </c>
      <c r="B460" s="40" t="s">
        <v>534</v>
      </c>
      <c r="C460" s="40" t="s">
        <v>250</v>
      </c>
      <c r="D460" s="40" t="s">
        <v>229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535</v>
      </c>
      <c r="B461" s="20" t="s">
        <v>536</v>
      </c>
      <c r="C461" s="40" t="s">
        <v>250</v>
      </c>
      <c r="D461" s="40" t="s">
        <v>229</v>
      </c>
      <c r="E461" s="73"/>
      <c r="F461" s="2"/>
      <c r="G461" s="10">
        <f>G462</f>
        <v>0</v>
      </c>
    </row>
    <row r="462" spans="1:7" ht="47.25" hidden="1" x14ac:dyDescent="0.25">
      <c r="A462" s="29" t="s">
        <v>147</v>
      </c>
      <c r="B462" s="20" t="s">
        <v>536</v>
      </c>
      <c r="C462" s="40" t="s">
        <v>250</v>
      </c>
      <c r="D462" s="40" t="s">
        <v>229</v>
      </c>
      <c r="E462" s="40" t="s">
        <v>148</v>
      </c>
      <c r="F462" s="2"/>
      <c r="G462" s="10">
        <f>G463</f>
        <v>0</v>
      </c>
    </row>
    <row r="463" spans="1:7" ht="47.25" hidden="1" x14ac:dyDescent="0.25">
      <c r="A463" s="29" t="s">
        <v>149</v>
      </c>
      <c r="B463" s="20" t="s">
        <v>536</v>
      </c>
      <c r="C463" s="40" t="s">
        <v>250</v>
      </c>
      <c r="D463" s="40" t="s">
        <v>229</v>
      </c>
      <c r="E463" s="40" t="s">
        <v>150</v>
      </c>
      <c r="F463" s="2"/>
      <c r="G463" s="10"/>
    </row>
    <row r="464" spans="1:7" ht="47.25" hidden="1" x14ac:dyDescent="0.25">
      <c r="A464" s="45" t="s">
        <v>640</v>
      </c>
      <c r="B464" s="20" t="s">
        <v>536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9" t="s">
        <v>537</v>
      </c>
      <c r="B465" s="20" t="s">
        <v>538</v>
      </c>
      <c r="C465" s="40" t="s">
        <v>250</v>
      </c>
      <c r="D465" s="40" t="s">
        <v>229</v>
      </c>
      <c r="E465" s="40"/>
      <c r="F465" s="2"/>
      <c r="G465" s="10" t="e">
        <f>G466</f>
        <v>#REF!</v>
      </c>
    </row>
    <row r="466" spans="1:7" ht="47.25" x14ac:dyDescent="0.25">
      <c r="A466" s="31" t="s">
        <v>147</v>
      </c>
      <c r="B466" s="20" t="s">
        <v>538</v>
      </c>
      <c r="C466" s="40" t="s">
        <v>250</v>
      </c>
      <c r="D466" s="40" t="s">
        <v>229</v>
      </c>
      <c r="E466" s="40" t="s">
        <v>148</v>
      </c>
      <c r="F466" s="2"/>
      <c r="G466" s="10" t="e">
        <f>G467</f>
        <v>#REF!</v>
      </c>
    </row>
    <row r="467" spans="1:7" ht="47.25" x14ac:dyDescent="0.25">
      <c r="A467" s="31" t="s">
        <v>149</v>
      </c>
      <c r="B467" s="20" t="s">
        <v>538</v>
      </c>
      <c r="C467" s="40" t="s">
        <v>250</v>
      </c>
      <c r="D467" s="40" t="s">
        <v>229</v>
      </c>
      <c r="E467" s="40" t="s">
        <v>150</v>
      </c>
      <c r="F467" s="2"/>
      <c r="G467" s="10" t="e">
        <f>'Пр.4 ведом.20'!#REF!</f>
        <v>#REF!</v>
      </c>
    </row>
    <row r="468" spans="1:7" ht="15.75" x14ac:dyDescent="0.25">
      <c r="A468" s="99" t="s">
        <v>539</v>
      </c>
      <c r="B468" s="20" t="s">
        <v>540</v>
      </c>
      <c r="C468" s="40" t="s">
        <v>250</v>
      </c>
      <c r="D468" s="40" t="s">
        <v>229</v>
      </c>
      <c r="E468" s="40"/>
      <c r="F468" s="2"/>
      <c r="G468" s="10" t="e">
        <f>G469</f>
        <v>#REF!</v>
      </c>
    </row>
    <row r="469" spans="1:7" ht="47.25" x14ac:dyDescent="0.25">
      <c r="A469" s="31" t="s">
        <v>147</v>
      </c>
      <c r="B469" s="20" t="s">
        <v>540</v>
      </c>
      <c r="C469" s="40" t="s">
        <v>250</v>
      </c>
      <c r="D469" s="40" t="s">
        <v>229</v>
      </c>
      <c r="E469" s="40" t="s">
        <v>148</v>
      </c>
      <c r="F469" s="2"/>
      <c r="G469" s="10" t="e">
        <f>G470</f>
        <v>#REF!</v>
      </c>
    </row>
    <row r="470" spans="1:7" ht="47.25" x14ac:dyDescent="0.25">
      <c r="A470" s="31" t="s">
        <v>149</v>
      </c>
      <c r="B470" s="20" t="s">
        <v>540</v>
      </c>
      <c r="C470" s="40" t="s">
        <v>250</v>
      </c>
      <c r="D470" s="40" t="s">
        <v>229</v>
      </c>
      <c r="E470" s="40" t="s">
        <v>150</v>
      </c>
      <c r="F470" s="2"/>
      <c r="G470" s="10" t="e">
        <f>'Пр.4 ведом.20'!#REF!</f>
        <v>#REF!</v>
      </c>
    </row>
    <row r="471" spans="1:7" ht="15.75" x14ac:dyDescent="0.25">
      <c r="A471" s="99" t="s">
        <v>541</v>
      </c>
      <c r="B471" s="20" t="s">
        <v>542</v>
      </c>
      <c r="C471" s="40" t="s">
        <v>250</v>
      </c>
      <c r="D471" s="40" t="s">
        <v>229</v>
      </c>
      <c r="E471" s="40"/>
      <c r="F471" s="2"/>
      <c r="G471" s="10" t="e">
        <f>G472</f>
        <v>#REF!</v>
      </c>
    </row>
    <row r="472" spans="1:7" ht="47.25" x14ac:dyDescent="0.25">
      <c r="A472" s="31" t="s">
        <v>147</v>
      </c>
      <c r="B472" s="20" t="s">
        <v>542</v>
      </c>
      <c r="C472" s="40" t="s">
        <v>250</v>
      </c>
      <c r="D472" s="40" t="s">
        <v>229</v>
      </c>
      <c r="E472" s="40" t="s">
        <v>148</v>
      </c>
      <c r="F472" s="2"/>
      <c r="G472" s="10" t="e">
        <f>G473</f>
        <v>#REF!</v>
      </c>
    </row>
    <row r="473" spans="1:7" ht="47.25" x14ac:dyDescent="0.25">
      <c r="A473" s="31" t="s">
        <v>149</v>
      </c>
      <c r="B473" s="20" t="s">
        <v>542</v>
      </c>
      <c r="C473" s="40" t="s">
        <v>250</v>
      </c>
      <c r="D473" s="40" t="s">
        <v>229</v>
      </c>
      <c r="E473" s="40" t="s">
        <v>150</v>
      </c>
      <c r="F473" s="2"/>
      <c r="G473" s="10" t="e">
        <f>'Пр.4 ведом.20'!#REF!</f>
        <v>#REF!</v>
      </c>
    </row>
    <row r="474" spans="1:7" ht="31.5" x14ac:dyDescent="0.25">
      <c r="A474" s="99" t="s">
        <v>543</v>
      </c>
      <c r="B474" s="20" t="s">
        <v>544</v>
      </c>
      <c r="C474" s="40" t="s">
        <v>250</v>
      </c>
      <c r="D474" s="40" t="s">
        <v>229</v>
      </c>
      <c r="E474" s="40"/>
      <c r="F474" s="2"/>
      <c r="G474" s="10" t="e">
        <f>G475</f>
        <v>#REF!</v>
      </c>
    </row>
    <row r="475" spans="1:7" ht="47.25" x14ac:dyDescent="0.25">
      <c r="A475" s="31" t="s">
        <v>147</v>
      </c>
      <c r="B475" s="20" t="s">
        <v>544</v>
      </c>
      <c r="C475" s="40" t="s">
        <v>250</v>
      </c>
      <c r="D475" s="40" t="s">
        <v>229</v>
      </c>
      <c r="E475" s="40" t="s">
        <v>148</v>
      </c>
      <c r="F475" s="2"/>
      <c r="G475" s="10" t="e">
        <f>G476</f>
        <v>#REF!</v>
      </c>
    </row>
    <row r="476" spans="1:7" ht="47.25" x14ac:dyDescent="0.25">
      <c r="A476" s="31" t="s">
        <v>149</v>
      </c>
      <c r="B476" s="20" t="s">
        <v>544</v>
      </c>
      <c r="C476" s="40" t="s">
        <v>250</v>
      </c>
      <c r="D476" s="40" t="s">
        <v>229</v>
      </c>
      <c r="E476" s="40" t="s">
        <v>150</v>
      </c>
      <c r="F476" s="2"/>
      <c r="G476" s="10" t="e">
        <f>'Пр.4 ведом.20'!#REF!</f>
        <v>#REF!</v>
      </c>
    </row>
    <row r="477" spans="1:7" ht="15.75" x14ac:dyDescent="0.25">
      <c r="A477" s="99" t="s">
        <v>545</v>
      </c>
      <c r="B477" s="20" t="s">
        <v>546</v>
      </c>
      <c r="C477" s="40" t="s">
        <v>250</v>
      </c>
      <c r="D477" s="40" t="s">
        <v>229</v>
      </c>
      <c r="E477" s="40"/>
      <c r="F477" s="2"/>
      <c r="G477" s="10" t="e">
        <f>G478</f>
        <v>#REF!</v>
      </c>
    </row>
    <row r="478" spans="1:7" ht="47.25" x14ac:dyDescent="0.25">
      <c r="A478" s="31" t="s">
        <v>147</v>
      </c>
      <c r="B478" s="20" t="s">
        <v>546</v>
      </c>
      <c r="C478" s="40" t="s">
        <v>250</v>
      </c>
      <c r="D478" s="40" t="s">
        <v>229</v>
      </c>
      <c r="E478" s="40" t="s">
        <v>148</v>
      </c>
      <c r="F478" s="2"/>
      <c r="G478" s="10" t="e">
        <f>G479</f>
        <v>#REF!</v>
      </c>
    </row>
    <row r="479" spans="1:7" ht="47.25" x14ac:dyDescent="0.25">
      <c r="A479" s="31" t="s">
        <v>149</v>
      </c>
      <c r="B479" s="20" t="s">
        <v>546</v>
      </c>
      <c r="C479" s="40" t="s">
        <v>250</v>
      </c>
      <c r="D479" s="40" t="s">
        <v>229</v>
      </c>
      <c r="E479" s="40" t="s">
        <v>150</v>
      </c>
      <c r="F479" s="2"/>
      <c r="G479" s="10" t="e">
        <f>'Пр.4 ведом.20'!#REF!</f>
        <v>#REF!</v>
      </c>
    </row>
    <row r="480" spans="1:7" ht="31.5" hidden="1" x14ac:dyDescent="0.25">
      <c r="A480" s="98" t="s">
        <v>547</v>
      </c>
      <c r="B480" s="20" t="s">
        <v>548</v>
      </c>
      <c r="C480" s="40" t="s">
        <v>250</v>
      </c>
      <c r="D480" s="40" t="s">
        <v>229</v>
      </c>
      <c r="E480" s="40"/>
      <c r="F480" s="2"/>
      <c r="G480" s="10">
        <f>G481</f>
        <v>0</v>
      </c>
    </row>
    <row r="481" spans="1:7" ht="47.25" hidden="1" x14ac:dyDescent="0.25">
      <c r="A481" s="31" t="s">
        <v>147</v>
      </c>
      <c r="B481" s="20" t="s">
        <v>548</v>
      </c>
      <c r="C481" s="40" t="s">
        <v>250</v>
      </c>
      <c r="D481" s="40" t="s">
        <v>229</v>
      </c>
      <c r="E481" s="40"/>
      <c r="F481" s="2"/>
      <c r="G481" s="10">
        <f>G482</f>
        <v>0</v>
      </c>
    </row>
    <row r="482" spans="1:7" ht="47.25" hidden="1" x14ac:dyDescent="0.25">
      <c r="A482" s="31" t="s">
        <v>149</v>
      </c>
      <c r="B482" s="20" t="s">
        <v>548</v>
      </c>
      <c r="C482" s="40" t="s">
        <v>250</v>
      </c>
      <c r="D482" s="40" t="s">
        <v>229</v>
      </c>
      <c r="E482" s="40"/>
      <c r="F482" s="2"/>
      <c r="G482" s="10"/>
    </row>
    <row r="483" spans="1:7" ht="31.5" x14ac:dyDescent="0.25">
      <c r="A483" s="98" t="s">
        <v>549</v>
      </c>
      <c r="B483" s="20" t="s">
        <v>550</v>
      </c>
      <c r="C483" s="40" t="s">
        <v>250</v>
      </c>
      <c r="D483" s="40" t="s">
        <v>229</v>
      </c>
      <c r="E483" s="40"/>
      <c r="F483" s="2"/>
      <c r="G483" s="10" t="e">
        <f>G484</f>
        <v>#REF!</v>
      </c>
    </row>
    <row r="484" spans="1:7" ht="47.25" x14ac:dyDescent="0.3">
      <c r="A484" s="25" t="s">
        <v>147</v>
      </c>
      <c r="B484" s="20" t="s">
        <v>550</v>
      </c>
      <c r="C484" s="40" t="s">
        <v>250</v>
      </c>
      <c r="D484" s="40" t="s">
        <v>229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149</v>
      </c>
      <c r="B485" s="20" t="s">
        <v>550</v>
      </c>
      <c r="C485" s="40" t="s">
        <v>250</v>
      </c>
      <c r="D485" s="40" t="s">
        <v>229</v>
      </c>
      <c r="E485" s="2">
        <v>240</v>
      </c>
      <c r="F485" s="77"/>
      <c r="G485" s="6" t="e">
        <f>'Пр.4 ведом.20'!#REF!</f>
        <v>#REF!</v>
      </c>
    </row>
    <row r="486" spans="1:7" ht="47.25" x14ac:dyDescent="0.25">
      <c r="A486" s="45" t="s">
        <v>640</v>
      </c>
      <c r="B486" s="20" t="s">
        <v>534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350</v>
      </c>
      <c r="B487" s="24" t="s">
        <v>351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279</v>
      </c>
      <c r="B488" s="20" t="s">
        <v>351</v>
      </c>
      <c r="C488" s="40" t="s">
        <v>280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311</v>
      </c>
      <c r="B489" s="20" t="s">
        <v>351</v>
      </c>
      <c r="C489" s="40" t="s">
        <v>280</v>
      </c>
      <c r="D489" s="40" t="s">
        <v>235</v>
      </c>
      <c r="E489" s="2"/>
      <c r="F489" s="2"/>
      <c r="G489" s="6" t="e">
        <f>G490+G493</f>
        <v>#REF!</v>
      </c>
    </row>
    <row r="490" spans="1:7" ht="47.25" x14ac:dyDescent="0.25">
      <c r="A490" s="25" t="s">
        <v>352</v>
      </c>
      <c r="B490" s="20" t="s">
        <v>353</v>
      </c>
      <c r="C490" s="40" t="s">
        <v>280</v>
      </c>
      <c r="D490" s="40" t="s">
        <v>235</v>
      </c>
      <c r="E490" s="2"/>
      <c r="F490" s="2"/>
      <c r="G490" s="6" t="e">
        <f>G491</f>
        <v>#REF!</v>
      </c>
    </row>
    <row r="491" spans="1:7" ht="47.25" x14ac:dyDescent="0.25">
      <c r="A491" s="25" t="s">
        <v>147</v>
      </c>
      <c r="B491" s="20" t="s">
        <v>353</v>
      </c>
      <c r="C491" s="40" t="s">
        <v>280</v>
      </c>
      <c r="D491" s="40" t="s">
        <v>235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149</v>
      </c>
      <c r="B492" s="20" t="s">
        <v>353</v>
      </c>
      <c r="C492" s="40" t="s">
        <v>280</v>
      </c>
      <c r="D492" s="40" t="s">
        <v>235</v>
      </c>
      <c r="E492" s="2">
        <v>240</v>
      </c>
      <c r="F492" s="2"/>
      <c r="G492" s="6" t="e">
        <f>'Пр.4 ведом.20'!#REF!</f>
        <v>#REF!</v>
      </c>
    </row>
    <row r="493" spans="1:7" ht="78.75" x14ac:dyDescent="0.25">
      <c r="A493" s="25" t="s">
        <v>492</v>
      </c>
      <c r="B493" s="20" t="s">
        <v>493</v>
      </c>
      <c r="C493" s="40" t="s">
        <v>280</v>
      </c>
      <c r="D493" s="40" t="s">
        <v>235</v>
      </c>
      <c r="E493" s="2"/>
      <c r="F493" s="2"/>
      <c r="G493" s="6" t="e">
        <f>G494+G496</f>
        <v>#REF!</v>
      </c>
    </row>
    <row r="494" spans="1:7" ht="110.25" x14ac:dyDescent="0.25">
      <c r="A494" s="25" t="s">
        <v>143</v>
      </c>
      <c r="B494" s="20" t="s">
        <v>493</v>
      </c>
      <c r="C494" s="40" t="s">
        <v>280</v>
      </c>
      <c r="D494" s="40" t="s">
        <v>235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358</v>
      </c>
      <c r="B495" s="20" t="s">
        <v>493</v>
      </c>
      <c r="C495" s="40" t="s">
        <v>280</v>
      </c>
      <c r="D495" s="40" t="s">
        <v>235</v>
      </c>
      <c r="E495" s="2">
        <v>110</v>
      </c>
      <c r="F495" s="2"/>
      <c r="G495" s="6" t="e">
        <f>'Пр.4 ведом.20'!#REF!</f>
        <v>#REF!</v>
      </c>
    </row>
    <row r="496" spans="1:7" ht="47.25" x14ac:dyDescent="0.25">
      <c r="A496" s="25" t="s">
        <v>147</v>
      </c>
      <c r="B496" s="20" t="s">
        <v>493</v>
      </c>
      <c r="C496" s="40" t="s">
        <v>280</v>
      </c>
      <c r="D496" s="40" t="s">
        <v>235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149</v>
      </c>
      <c r="B497" s="20" t="s">
        <v>493</v>
      </c>
      <c r="C497" s="40" t="s">
        <v>280</v>
      </c>
      <c r="D497" s="40" t="s">
        <v>235</v>
      </c>
      <c r="E497" s="2">
        <v>240</v>
      </c>
      <c r="F497" s="2"/>
      <c r="G497" s="6" t="e">
        <f>'Пр.4 ведом.20'!#REF!</f>
        <v>#REF!</v>
      </c>
    </row>
    <row r="498" spans="1:9" ht="47.25" x14ac:dyDescent="0.25">
      <c r="A498" s="29" t="s">
        <v>419</v>
      </c>
      <c r="B498" s="20" t="s">
        <v>351</v>
      </c>
      <c r="C498" s="40" t="s">
        <v>280</v>
      </c>
      <c r="D498" s="40" t="s">
        <v>235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314</v>
      </c>
      <c r="B499" s="20" t="s">
        <v>351</v>
      </c>
      <c r="C499" s="40" t="s">
        <v>315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349</v>
      </c>
      <c r="B500" s="20" t="s">
        <v>351</v>
      </c>
      <c r="C500" s="40" t="s">
        <v>315</v>
      </c>
      <c r="D500" s="40" t="s">
        <v>166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352</v>
      </c>
      <c r="B501" s="20" t="s">
        <v>353</v>
      </c>
      <c r="C501" s="40" t="s">
        <v>315</v>
      </c>
      <c r="D501" s="40" t="s">
        <v>166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147</v>
      </c>
      <c r="B502" s="20" t="s">
        <v>353</v>
      </c>
      <c r="C502" s="40" t="s">
        <v>315</v>
      </c>
      <c r="D502" s="40" t="s">
        <v>166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149</v>
      </c>
      <c r="B503" s="20" t="s">
        <v>353</v>
      </c>
      <c r="C503" s="40" t="s">
        <v>315</v>
      </c>
      <c r="D503" s="40" t="s">
        <v>166</v>
      </c>
      <c r="E503" s="2">
        <v>240</v>
      </c>
      <c r="F503" s="2"/>
      <c r="G503" s="6" t="e">
        <f>'Пр.4 ведом.20'!#REF!</f>
        <v>#REF!</v>
      </c>
    </row>
    <row r="504" spans="1:9" ht="31.5" x14ac:dyDescent="0.25">
      <c r="A504" s="25" t="s">
        <v>354</v>
      </c>
      <c r="B504" s="20" t="s">
        <v>355</v>
      </c>
      <c r="C504" s="40" t="s">
        <v>315</v>
      </c>
      <c r="D504" s="40" t="s">
        <v>166</v>
      </c>
      <c r="E504" s="2"/>
      <c r="F504" s="2"/>
      <c r="G504" s="6" t="e">
        <f>G505</f>
        <v>#REF!</v>
      </c>
    </row>
    <row r="505" spans="1:9" ht="47.25" x14ac:dyDescent="0.25">
      <c r="A505" s="25" t="s">
        <v>147</v>
      </c>
      <c r="B505" s="20" t="s">
        <v>355</v>
      </c>
      <c r="C505" s="40" t="s">
        <v>315</v>
      </c>
      <c r="D505" s="40" t="s">
        <v>166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149</v>
      </c>
      <c r="B506" s="20" t="s">
        <v>355</v>
      </c>
      <c r="C506" s="40" t="s">
        <v>315</v>
      </c>
      <c r="D506" s="40" t="s">
        <v>166</v>
      </c>
      <c r="E506" s="2">
        <v>240</v>
      </c>
      <c r="F506" s="2"/>
      <c r="G506" s="6" t="e">
        <f>'Пр.4 ведом.20'!#REF!</f>
        <v>#REF!</v>
      </c>
    </row>
    <row r="507" spans="1:9" ht="47.25" x14ac:dyDescent="0.25">
      <c r="A507" s="25" t="s">
        <v>696</v>
      </c>
      <c r="B507" s="20" t="s">
        <v>697</v>
      </c>
      <c r="C507" s="40" t="s">
        <v>315</v>
      </c>
      <c r="D507" s="40" t="s">
        <v>166</v>
      </c>
      <c r="E507" s="2"/>
      <c r="F507" s="2"/>
      <c r="G507" s="6" t="e">
        <f>G508</f>
        <v>#REF!</v>
      </c>
    </row>
    <row r="508" spans="1:9" ht="47.25" x14ac:dyDescent="0.25">
      <c r="A508" s="25" t="s">
        <v>147</v>
      </c>
      <c r="B508" s="20" t="s">
        <v>697</v>
      </c>
      <c r="C508" s="40" t="s">
        <v>315</v>
      </c>
      <c r="D508" s="40" t="s">
        <v>166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149</v>
      </c>
      <c r="B509" s="20" t="s">
        <v>697</v>
      </c>
      <c r="C509" s="40" t="s">
        <v>315</v>
      </c>
      <c r="D509" s="40" t="s">
        <v>166</v>
      </c>
      <c r="E509" s="2">
        <v>240</v>
      </c>
      <c r="F509" s="2"/>
      <c r="G509" s="6" t="e">
        <f>'Пр.4 ведом.20'!#REF!</f>
        <v>#REF!</v>
      </c>
    </row>
    <row r="510" spans="1:9" ht="63" x14ac:dyDescent="0.25">
      <c r="A510" s="45" t="s">
        <v>277</v>
      </c>
      <c r="B510" s="20" t="s">
        <v>351</v>
      </c>
      <c r="C510" s="40" t="s">
        <v>315</v>
      </c>
      <c r="D510" s="40" t="s">
        <v>166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730</v>
      </c>
      <c r="B511" s="24" t="s">
        <v>728</v>
      </c>
      <c r="C511" s="7"/>
      <c r="D511" s="7"/>
      <c r="E511" s="3"/>
      <c r="F511" s="3"/>
      <c r="G511" s="4" t="e">
        <f>G512+G521</f>
        <v>#REF!</v>
      </c>
    </row>
    <row r="512" spans="1:9" s="122" customFormat="1" ht="15.75" x14ac:dyDescent="0.25">
      <c r="A512" s="29" t="s">
        <v>133</v>
      </c>
      <c r="B512" s="20" t="s">
        <v>728</v>
      </c>
      <c r="C512" s="40" t="s">
        <v>134</v>
      </c>
      <c r="D512" s="40"/>
      <c r="E512" s="2"/>
      <c r="F512" s="2"/>
      <c r="G512" s="6" t="e">
        <f>G513</f>
        <v>#REF!</v>
      </c>
      <c r="I512" s="123"/>
    </row>
    <row r="513" spans="1:9" s="122" customFormat="1" ht="31.5" x14ac:dyDescent="0.25">
      <c r="A513" s="29" t="s">
        <v>155</v>
      </c>
      <c r="B513" s="20" t="s">
        <v>728</v>
      </c>
      <c r="C513" s="40" t="s">
        <v>134</v>
      </c>
      <c r="D513" s="40" t="s">
        <v>156</v>
      </c>
      <c r="E513" s="2"/>
      <c r="F513" s="2"/>
      <c r="G513" s="6" t="e">
        <f>G514+G517</f>
        <v>#REF!</v>
      </c>
      <c r="I513" s="123"/>
    </row>
    <row r="514" spans="1:9" ht="47.25" x14ac:dyDescent="0.25">
      <c r="A514" s="31" t="s">
        <v>173</v>
      </c>
      <c r="B514" s="20" t="s">
        <v>736</v>
      </c>
      <c r="C514" s="40" t="s">
        <v>134</v>
      </c>
      <c r="D514" s="40" t="s">
        <v>156</v>
      </c>
      <c r="E514" s="2"/>
      <c r="F514" s="2"/>
      <c r="G514" s="6" t="e">
        <f>G515</f>
        <v>#REF!</v>
      </c>
    </row>
    <row r="515" spans="1:9" ht="47.25" x14ac:dyDescent="0.25">
      <c r="A515" s="25" t="s">
        <v>147</v>
      </c>
      <c r="B515" s="20" t="s">
        <v>736</v>
      </c>
      <c r="C515" s="40" t="s">
        <v>134</v>
      </c>
      <c r="D515" s="40" t="s">
        <v>156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149</v>
      </c>
      <c r="B516" s="20" t="s">
        <v>736</v>
      </c>
      <c r="C516" s="40" t="s">
        <v>134</v>
      </c>
      <c r="D516" s="40" t="s">
        <v>156</v>
      </c>
      <c r="E516" s="2">
        <v>240</v>
      </c>
      <c r="F516" s="2"/>
      <c r="G516" s="6" t="e">
        <f>'Пр.4 ведом.20'!#REF!</f>
        <v>#REF!</v>
      </c>
    </row>
    <row r="517" spans="1:9" ht="66.2" hidden="1" customHeight="1" x14ac:dyDescent="0.25">
      <c r="A517" s="29"/>
      <c r="B517" s="20" t="s">
        <v>729</v>
      </c>
      <c r="C517" s="40" t="s">
        <v>134</v>
      </c>
      <c r="D517" s="40" t="s">
        <v>156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147</v>
      </c>
      <c r="B518" s="20" t="s">
        <v>729</v>
      </c>
      <c r="C518" s="40" t="s">
        <v>134</v>
      </c>
      <c r="D518" s="40" t="s">
        <v>156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149</v>
      </c>
      <c r="B519" s="20" t="s">
        <v>729</v>
      </c>
      <c r="C519" s="40" t="s">
        <v>134</v>
      </c>
      <c r="D519" s="40" t="s">
        <v>156</v>
      </c>
      <c r="E519" s="2">
        <v>240</v>
      </c>
      <c r="F519" s="2"/>
      <c r="G519" s="6" t="e">
        <f>'Пр.4 ведом.20'!#REF!</f>
        <v>#REF!</v>
      </c>
    </row>
    <row r="520" spans="1:9" ht="31.5" x14ac:dyDescent="0.25">
      <c r="A520" s="29" t="s">
        <v>164</v>
      </c>
      <c r="B520" s="20" t="s">
        <v>728</v>
      </c>
      <c r="C520" s="40" t="s">
        <v>134</v>
      </c>
      <c r="D520" s="40" t="s">
        <v>156</v>
      </c>
      <c r="E520" s="2"/>
      <c r="F520" s="2">
        <v>902</v>
      </c>
      <c r="G520" s="6" t="e">
        <f>G511</f>
        <v>#REF!</v>
      </c>
    </row>
    <row r="521" spans="1:9" s="122" customFormat="1" ht="15.75" x14ac:dyDescent="0.25">
      <c r="A521" s="25" t="s">
        <v>314</v>
      </c>
      <c r="B521" s="20" t="s">
        <v>728</v>
      </c>
      <c r="C521" s="40" t="s">
        <v>315</v>
      </c>
      <c r="D521" s="40"/>
      <c r="E521" s="2"/>
      <c r="F521" s="2"/>
      <c r="G521" s="6" t="e">
        <f>G522</f>
        <v>#REF!</v>
      </c>
      <c r="I521" s="123"/>
    </row>
    <row r="522" spans="1:9" ht="31.5" x14ac:dyDescent="0.25">
      <c r="A522" s="41" t="s">
        <v>349</v>
      </c>
      <c r="B522" s="20" t="s">
        <v>728</v>
      </c>
      <c r="C522" s="40" t="s">
        <v>315</v>
      </c>
      <c r="D522" s="40" t="s">
        <v>166</v>
      </c>
      <c r="E522" s="2"/>
      <c r="F522" s="2"/>
      <c r="G522" s="6" t="e">
        <f>G523</f>
        <v>#REF!</v>
      </c>
    </row>
    <row r="523" spans="1:9" ht="47.25" x14ac:dyDescent="0.25">
      <c r="A523" s="31" t="s">
        <v>173</v>
      </c>
      <c r="B523" s="20" t="s">
        <v>736</v>
      </c>
      <c r="C523" s="40" t="s">
        <v>315</v>
      </c>
      <c r="D523" s="40" t="s">
        <v>166</v>
      </c>
      <c r="E523" s="2"/>
      <c r="F523" s="2"/>
      <c r="G523" s="6" t="e">
        <f>G524</f>
        <v>#REF!</v>
      </c>
    </row>
    <row r="524" spans="1:9" ht="47.25" x14ac:dyDescent="0.25">
      <c r="A524" s="25" t="s">
        <v>147</v>
      </c>
      <c r="B524" s="20" t="s">
        <v>736</v>
      </c>
      <c r="C524" s="40" t="s">
        <v>315</v>
      </c>
      <c r="D524" s="40" t="s">
        <v>166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149</v>
      </c>
      <c r="B525" s="20" t="s">
        <v>736</v>
      </c>
      <c r="C525" s="40" t="s">
        <v>315</v>
      </c>
      <c r="D525" s="40" t="s">
        <v>166</v>
      </c>
      <c r="E525" s="2">
        <v>240</v>
      </c>
      <c r="F525" s="2"/>
      <c r="G525" s="6" t="e">
        <f>'Пр.4 ведом.20'!#REF!</f>
        <v>#REF!</v>
      </c>
    </row>
    <row r="526" spans="1:9" ht="63" x14ac:dyDescent="0.25">
      <c r="A526" s="45" t="s">
        <v>277</v>
      </c>
      <c r="B526" s="20" t="s">
        <v>728</v>
      </c>
      <c r="C526" s="40" t="s">
        <v>315</v>
      </c>
      <c r="D526" s="40" t="s">
        <v>166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732</v>
      </c>
      <c r="B527" s="24" t="s">
        <v>734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406</v>
      </c>
      <c r="B528" s="20" t="s">
        <v>734</v>
      </c>
      <c r="C528" s="40" t="s">
        <v>250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557</v>
      </c>
      <c r="B529" s="20" t="s">
        <v>734</v>
      </c>
      <c r="C529" s="40" t="s">
        <v>250</v>
      </c>
      <c r="D529" s="40" t="s">
        <v>231</v>
      </c>
      <c r="E529" s="2"/>
      <c r="F529" s="2"/>
      <c r="G529" s="6" t="e">
        <f>G530</f>
        <v>#REF!</v>
      </c>
    </row>
    <row r="530" spans="1:7" ht="31.5" x14ac:dyDescent="0.25">
      <c r="A530" s="127" t="s">
        <v>733</v>
      </c>
      <c r="B530" s="20" t="s">
        <v>735</v>
      </c>
      <c r="C530" s="40" t="s">
        <v>250</v>
      </c>
      <c r="D530" s="40" t="s">
        <v>231</v>
      </c>
      <c r="E530" s="2"/>
      <c r="F530" s="2"/>
      <c r="G530" s="6" t="e">
        <f>G531</f>
        <v>#REF!</v>
      </c>
    </row>
    <row r="531" spans="1:7" ht="47.25" x14ac:dyDescent="0.25">
      <c r="A531" s="25" t="s">
        <v>147</v>
      </c>
      <c r="B531" s="20" t="s">
        <v>735</v>
      </c>
      <c r="C531" s="40" t="s">
        <v>250</v>
      </c>
      <c r="D531" s="40" t="s">
        <v>231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149</v>
      </c>
      <c r="B532" s="20" t="s">
        <v>735</v>
      </c>
      <c r="C532" s="40" t="s">
        <v>250</v>
      </c>
      <c r="D532" s="40" t="s">
        <v>231</v>
      </c>
      <c r="E532" s="2">
        <v>240</v>
      </c>
      <c r="F532" s="2"/>
      <c r="G532" s="6" t="e">
        <f>'Пр.4 ведом.20'!#REF!</f>
        <v>#REF!</v>
      </c>
    </row>
    <row r="533" spans="1:7" ht="47.25" x14ac:dyDescent="0.25">
      <c r="A533" s="45" t="s">
        <v>640</v>
      </c>
      <c r="B533" s="20" t="s">
        <v>734</v>
      </c>
      <c r="C533" s="40" t="s">
        <v>250</v>
      </c>
      <c r="D533" s="40" t="s">
        <v>231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674</v>
      </c>
      <c r="B534" s="72"/>
      <c r="C534" s="72"/>
      <c r="D534" s="78"/>
      <c r="E534" s="78"/>
      <c r="F534" s="78"/>
      <c r="G534" s="121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7"/>
  <sheetViews>
    <sheetView view="pageBreakPreview" zoomScaleNormal="100" zoomScaleSheetLayoutView="100" workbookViewId="0">
      <selection activeCell="H1" sqref="H1:H5"/>
    </sheetView>
  </sheetViews>
  <sheetFormatPr defaultColWidth="9.140625" defaultRowHeight="15" x14ac:dyDescent="0.25"/>
  <cols>
    <col min="1" max="1" width="62.28515625" style="332" customWidth="1"/>
    <col min="2" max="2" width="7" style="332" customWidth="1"/>
    <col min="3" max="3" width="4.28515625" style="332" customWidth="1"/>
    <col min="4" max="4" width="4.85546875" style="332" customWidth="1"/>
    <col min="5" max="5" width="15.42578125" style="332" customWidth="1"/>
    <col min="6" max="6" width="5.7109375" style="332" customWidth="1"/>
    <col min="7" max="7" width="13.7109375" style="332" customWidth="1"/>
    <col min="8" max="8" width="12.85546875" style="332" customWidth="1"/>
    <col min="9" max="9" width="14.28515625" style="332" customWidth="1"/>
    <col min="10" max="10" width="10" style="332" customWidth="1"/>
    <col min="11" max="11" width="10" style="1" customWidth="1"/>
    <col min="12" max="13" width="9.140625" style="1" customWidth="1"/>
    <col min="14" max="16384" width="9.140625" style="1"/>
  </cols>
  <sheetData>
    <row r="1" spans="1:10" ht="15.75" x14ac:dyDescent="0.25">
      <c r="A1" s="63"/>
      <c r="B1" s="63"/>
      <c r="C1" s="63"/>
      <c r="D1" s="63"/>
      <c r="G1" s="130"/>
      <c r="H1" s="378" t="s">
        <v>607</v>
      </c>
      <c r="I1" s="130"/>
    </row>
    <row r="2" spans="1:10" ht="15.75" x14ac:dyDescent="0.25">
      <c r="A2" s="63"/>
      <c r="B2" s="63"/>
      <c r="C2" s="63"/>
      <c r="D2" s="63"/>
      <c r="G2" s="130"/>
      <c r="H2" s="378" t="s">
        <v>1552</v>
      </c>
      <c r="I2" s="130"/>
    </row>
    <row r="3" spans="1:10" ht="15.75" x14ac:dyDescent="0.25">
      <c r="A3" s="131"/>
      <c r="B3" s="131"/>
      <c r="C3" s="131"/>
      <c r="D3" s="131"/>
      <c r="E3" s="131"/>
      <c r="F3" s="131"/>
      <c r="G3" s="130"/>
      <c r="H3" s="379" t="s">
        <v>1579</v>
      </c>
      <c r="I3" s="366"/>
    </row>
    <row r="4" spans="1:10" s="332" customFormat="1" ht="15.75" x14ac:dyDescent="0.25">
      <c r="A4" s="131"/>
      <c r="B4" s="131"/>
      <c r="C4" s="131"/>
      <c r="D4" s="131"/>
      <c r="E4" s="131"/>
      <c r="F4" s="131"/>
      <c r="G4" s="130"/>
      <c r="H4" s="379" t="s">
        <v>1580</v>
      </c>
      <c r="I4" s="366"/>
    </row>
    <row r="5" spans="1:10" s="332" customFormat="1" ht="15.75" x14ac:dyDescent="0.25">
      <c r="A5" s="131"/>
      <c r="B5" s="131"/>
      <c r="C5" s="131"/>
      <c r="D5" s="131"/>
      <c r="E5" s="131"/>
      <c r="F5" s="131"/>
      <c r="G5" s="130"/>
      <c r="H5" s="379" t="s">
        <v>1581</v>
      </c>
      <c r="I5" s="366"/>
    </row>
    <row r="6" spans="1:10" s="218" customFormat="1" ht="15.75" x14ac:dyDescent="0.25">
      <c r="A6" s="354"/>
      <c r="B6" s="354"/>
      <c r="C6" s="354"/>
      <c r="D6" s="354"/>
      <c r="E6" s="354"/>
      <c r="F6" s="354"/>
      <c r="G6" s="130"/>
      <c r="H6" s="332"/>
      <c r="I6" s="332"/>
      <c r="J6" s="332"/>
    </row>
    <row r="7" spans="1:10" ht="15.75" customHeight="1" x14ac:dyDescent="0.25">
      <c r="A7" s="392" t="s">
        <v>1555</v>
      </c>
      <c r="B7" s="392"/>
      <c r="C7" s="392"/>
      <c r="D7" s="392"/>
      <c r="E7" s="392"/>
      <c r="F7" s="392"/>
      <c r="G7" s="392"/>
      <c r="H7" s="392"/>
      <c r="I7" s="392"/>
    </row>
    <row r="8" spans="1:10" ht="15.75" x14ac:dyDescent="0.25">
      <c r="A8" s="13"/>
      <c r="B8" s="13"/>
      <c r="C8" s="13"/>
      <c r="D8" s="13"/>
      <c r="E8" s="13"/>
      <c r="F8" s="13"/>
      <c r="G8" s="194"/>
      <c r="H8" s="194"/>
      <c r="I8" s="194"/>
    </row>
    <row r="9" spans="1:10" ht="78.75" x14ac:dyDescent="0.25">
      <c r="A9" s="353" t="s">
        <v>126</v>
      </c>
      <c r="B9" s="353" t="s">
        <v>127</v>
      </c>
      <c r="C9" s="15" t="s">
        <v>128</v>
      </c>
      <c r="D9" s="15" t="s">
        <v>129</v>
      </c>
      <c r="E9" s="15" t="s">
        <v>130</v>
      </c>
      <c r="F9" s="15" t="s">
        <v>131</v>
      </c>
      <c r="G9" s="239" t="s">
        <v>1547</v>
      </c>
      <c r="H9" s="215" t="s">
        <v>1548</v>
      </c>
      <c r="I9" s="215" t="s">
        <v>1549</v>
      </c>
    </row>
    <row r="10" spans="1:10" ht="31.5" x14ac:dyDescent="0.25">
      <c r="A10" s="337" t="s">
        <v>132</v>
      </c>
      <c r="B10" s="337">
        <v>901</v>
      </c>
      <c r="C10" s="338"/>
      <c r="D10" s="338"/>
      <c r="E10" s="338"/>
      <c r="F10" s="338"/>
      <c r="G10" s="339">
        <f t="shared" ref="G10:H13" si="0">G11</f>
        <v>13492.1</v>
      </c>
      <c r="H10" s="339">
        <f t="shared" si="0"/>
        <v>5674.5</v>
      </c>
      <c r="I10" s="339">
        <f>H10/G10*100</f>
        <v>42.057945019678186</v>
      </c>
    </row>
    <row r="11" spans="1:10" ht="15.75" x14ac:dyDescent="0.25">
      <c r="A11" s="340" t="s">
        <v>133</v>
      </c>
      <c r="B11" s="337">
        <v>901</v>
      </c>
      <c r="C11" s="341" t="s">
        <v>134</v>
      </c>
      <c r="D11" s="338"/>
      <c r="E11" s="338"/>
      <c r="F11" s="338"/>
      <c r="G11" s="339">
        <f t="shared" si="0"/>
        <v>13492.1</v>
      </c>
      <c r="H11" s="339">
        <f t="shared" si="0"/>
        <v>5674.5</v>
      </c>
      <c r="I11" s="339">
        <f t="shared" ref="I11:I74" si="1">H11/G11*100</f>
        <v>42.057945019678186</v>
      </c>
    </row>
    <row r="12" spans="1:10" ht="47.25" x14ac:dyDescent="0.25">
      <c r="A12" s="340" t="s">
        <v>135</v>
      </c>
      <c r="B12" s="337">
        <v>901</v>
      </c>
      <c r="C12" s="341" t="s">
        <v>134</v>
      </c>
      <c r="D12" s="341" t="s">
        <v>136</v>
      </c>
      <c r="E12" s="341"/>
      <c r="F12" s="341"/>
      <c r="G12" s="339">
        <f t="shared" si="0"/>
        <v>13492.1</v>
      </c>
      <c r="H12" s="339">
        <f t="shared" si="0"/>
        <v>5674.5</v>
      </c>
      <c r="I12" s="339">
        <f t="shared" si="1"/>
        <v>42.057945019678186</v>
      </c>
    </row>
    <row r="13" spans="1:10" ht="31.5" x14ac:dyDescent="0.25">
      <c r="A13" s="340" t="s">
        <v>990</v>
      </c>
      <c r="B13" s="337">
        <v>901</v>
      </c>
      <c r="C13" s="341" t="s">
        <v>134</v>
      </c>
      <c r="D13" s="341" t="s">
        <v>136</v>
      </c>
      <c r="E13" s="341" t="s">
        <v>904</v>
      </c>
      <c r="F13" s="341"/>
      <c r="G13" s="339">
        <f t="shared" si="0"/>
        <v>13492.1</v>
      </c>
      <c r="H13" s="339">
        <f t="shared" si="0"/>
        <v>5674.5</v>
      </c>
      <c r="I13" s="339">
        <f t="shared" si="1"/>
        <v>42.057945019678186</v>
      </c>
    </row>
    <row r="14" spans="1:10" ht="15.75" x14ac:dyDescent="0.25">
      <c r="A14" s="340" t="s">
        <v>991</v>
      </c>
      <c r="B14" s="337">
        <v>901</v>
      </c>
      <c r="C14" s="341" t="s">
        <v>134</v>
      </c>
      <c r="D14" s="341" t="s">
        <v>136</v>
      </c>
      <c r="E14" s="341" t="s">
        <v>905</v>
      </c>
      <c r="F14" s="341"/>
      <c r="G14" s="339">
        <f>G15+G22</f>
        <v>13492.1</v>
      </c>
      <c r="H14" s="339">
        <f>H15+H22</f>
        <v>5674.5</v>
      </c>
      <c r="I14" s="339">
        <f t="shared" si="1"/>
        <v>42.057945019678186</v>
      </c>
    </row>
    <row r="15" spans="1:10" ht="31.5" x14ac:dyDescent="0.25">
      <c r="A15" s="342" t="s">
        <v>967</v>
      </c>
      <c r="B15" s="336">
        <v>901</v>
      </c>
      <c r="C15" s="338" t="s">
        <v>134</v>
      </c>
      <c r="D15" s="338" t="s">
        <v>136</v>
      </c>
      <c r="E15" s="338" t="s">
        <v>906</v>
      </c>
      <c r="F15" s="338"/>
      <c r="G15" s="343">
        <f>G16+G18+G20</f>
        <v>13198.1</v>
      </c>
      <c r="H15" s="343">
        <f>H16+H18+H20</f>
        <v>5538.5</v>
      </c>
      <c r="I15" s="343">
        <f t="shared" si="1"/>
        <v>41.964373659844981</v>
      </c>
    </row>
    <row r="16" spans="1:10" ht="63" x14ac:dyDescent="0.25">
      <c r="A16" s="342" t="s">
        <v>143</v>
      </c>
      <c r="B16" s="336">
        <v>901</v>
      </c>
      <c r="C16" s="338" t="s">
        <v>134</v>
      </c>
      <c r="D16" s="338" t="s">
        <v>136</v>
      </c>
      <c r="E16" s="338" t="s">
        <v>906</v>
      </c>
      <c r="F16" s="338" t="s">
        <v>144</v>
      </c>
      <c r="G16" s="343">
        <f>G17</f>
        <v>12193.1</v>
      </c>
      <c r="H16" s="343">
        <f>H17</f>
        <v>5347.8</v>
      </c>
      <c r="I16" s="343">
        <f t="shared" si="1"/>
        <v>43.859231860642495</v>
      </c>
    </row>
    <row r="17" spans="1:10" ht="31.5" x14ac:dyDescent="0.25">
      <c r="A17" s="342" t="s">
        <v>145</v>
      </c>
      <c r="B17" s="336">
        <v>901</v>
      </c>
      <c r="C17" s="338" t="s">
        <v>134</v>
      </c>
      <c r="D17" s="338" t="s">
        <v>136</v>
      </c>
      <c r="E17" s="338" t="s">
        <v>906</v>
      </c>
      <c r="F17" s="338" t="s">
        <v>146</v>
      </c>
      <c r="G17" s="344">
        <f>11575+588+30.1</f>
        <v>12193.1</v>
      </c>
      <c r="H17" s="344">
        <v>5347.8</v>
      </c>
      <c r="I17" s="343">
        <f t="shared" si="1"/>
        <v>43.859231860642495</v>
      </c>
    </row>
    <row r="18" spans="1:10" ht="31.5" x14ac:dyDescent="0.25">
      <c r="A18" s="342" t="s">
        <v>147</v>
      </c>
      <c r="B18" s="336">
        <v>901</v>
      </c>
      <c r="C18" s="338" t="s">
        <v>134</v>
      </c>
      <c r="D18" s="338" t="s">
        <v>136</v>
      </c>
      <c r="E18" s="338" t="s">
        <v>906</v>
      </c>
      <c r="F18" s="338" t="s">
        <v>148</v>
      </c>
      <c r="G18" s="343">
        <f>G19</f>
        <v>977</v>
      </c>
      <c r="H18" s="343">
        <f>H19</f>
        <v>190.7</v>
      </c>
      <c r="I18" s="343">
        <f t="shared" si="1"/>
        <v>19.518935516888433</v>
      </c>
    </row>
    <row r="19" spans="1:10" ht="31.5" x14ac:dyDescent="0.25">
      <c r="A19" s="342" t="s">
        <v>149</v>
      </c>
      <c r="B19" s="336">
        <v>901</v>
      </c>
      <c r="C19" s="338" t="s">
        <v>134</v>
      </c>
      <c r="D19" s="338" t="s">
        <v>136</v>
      </c>
      <c r="E19" s="338" t="s">
        <v>906</v>
      </c>
      <c r="F19" s="338" t="s">
        <v>150</v>
      </c>
      <c r="G19" s="344">
        <f>1177.8-0.8-200</f>
        <v>977</v>
      </c>
      <c r="H19" s="344">
        <v>190.7</v>
      </c>
      <c r="I19" s="343">
        <f t="shared" si="1"/>
        <v>19.518935516888433</v>
      </c>
    </row>
    <row r="20" spans="1:10" ht="15.75" x14ac:dyDescent="0.25">
      <c r="A20" s="342" t="s">
        <v>151</v>
      </c>
      <c r="B20" s="336">
        <v>901</v>
      </c>
      <c r="C20" s="338" t="s">
        <v>134</v>
      </c>
      <c r="D20" s="338" t="s">
        <v>136</v>
      </c>
      <c r="E20" s="338" t="s">
        <v>906</v>
      </c>
      <c r="F20" s="338" t="s">
        <v>152</v>
      </c>
      <c r="G20" s="343">
        <f>G21</f>
        <v>28</v>
      </c>
      <c r="H20" s="343">
        <f>H21</f>
        <v>0</v>
      </c>
      <c r="I20" s="343">
        <f t="shared" si="1"/>
        <v>0</v>
      </c>
    </row>
    <row r="21" spans="1:10" ht="15.75" x14ac:dyDescent="0.25">
      <c r="A21" s="342" t="s">
        <v>584</v>
      </c>
      <c r="B21" s="336">
        <v>901</v>
      </c>
      <c r="C21" s="338" t="s">
        <v>134</v>
      </c>
      <c r="D21" s="338" t="s">
        <v>136</v>
      </c>
      <c r="E21" s="338" t="s">
        <v>906</v>
      </c>
      <c r="F21" s="338" t="s">
        <v>154</v>
      </c>
      <c r="G21" s="343">
        <v>28</v>
      </c>
      <c r="H21" s="343">
        <v>0</v>
      </c>
      <c r="I21" s="343">
        <f t="shared" si="1"/>
        <v>0</v>
      </c>
    </row>
    <row r="22" spans="1:10" s="218" customFormat="1" ht="31.5" x14ac:dyDescent="0.25">
      <c r="A22" s="342" t="s">
        <v>885</v>
      </c>
      <c r="B22" s="336">
        <v>901</v>
      </c>
      <c r="C22" s="338" t="s">
        <v>134</v>
      </c>
      <c r="D22" s="338" t="s">
        <v>136</v>
      </c>
      <c r="E22" s="338" t="s">
        <v>908</v>
      </c>
      <c r="F22" s="338"/>
      <c r="G22" s="343">
        <f>G23</f>
        <v>294</v>
      </c>
      <c r="H22" s="343">
        <f>H23</f>
        <v>136</v>
      </c>
      <c r="I22" s="343">
        <f t="shared" si="1"/>
        <v>46.258503401360542</v>
      </c>
      <c r="J22" s="332"/>
    </row>
    <row r="23" spans="1:10" s="218" customFormat="1" ht="63" x14ac:dyDescent="0.25">
      <c r="A23" s="342" t="s">
        <v>143</v>
      </c>
      <c r="B23" s="336">
        <v>901</v>
      </c>
      <c r="C23" s="338" t="s">
        <v>134</v>
      </c>
      <c r="D23" s="338" t="s">
        <v>136</v>
      </c>
      <c r="E23" s="338" t="s">
        <v>908</v>
      </c>
      <c r="F23" s="338" t="s">
        <v>144</v>
      </c>
      <c r="G23" s="343">
        <f>G24</f>
        <v>294</v>
      </c>
      <c r="H23" s="343">
        <f>H24</f>
        <v>136</v>
      </c>
      <c r="I23" s="343">
        <f t="shared" si="1"/>
        <v>46.258503401360542</v>
      </c>
      <c r="J23" s="332"/>
    </row>
    <row r="24" spans="1:10" s="218" customFormat="1" ht="31.5" x14ac:dyDescent="0.25">
      <c r="A24" s="342" t="s">
        <v>145</v>
      </c>
      <c r="B24" s="336">
        <v>901</v>
      </c>
      <c r="C24" s="338" t="s">
        <v>134</v>
      </c>
      <c r="D24" s="338" t="s">
        <v>136</v>
      </c>
      <c r="E24" s="338" t="s">
        <v>908</v>
      </c>
      <c r="F24" s="338" t="s">
        <v>146</v>
      </c>
      <c r="G24" s="343">
        <v>294</v>
      </c>
      <c r="H24" s="343">
        <v>136</v>
      </c>
      <c r="I24" s="343">
        <f t="shared" si="1"/>
        <v>46.258503401360542</v>
      </c>
      <c r="J24" s="332"/>
    </row>
    <row r="25" spans="1:10" ht="15.75" x14ac:dyDescent="0.25">
      <c r="A25" s="337" t="s">
        <v>164</v>
      </c>
      <c r="B25" s="337">
        <v>902</v>
      </c>
      <c r="C25" s="338"/>
      <c r="D25" s="338"/>
      <c r="E25" s="338"/>
      <c r="F25" s="338"/>
      <c r="G25" s="339">
        <f>G26+G141+G160+G190+G134</f>
        <v>83883.079999999987</v>
      </c>
      <c r="H25" s="339">
        <f>H26+H141+H160+H190+H134</f>
        <v>40959.1</v>
      </c>
      <c r="I25" s="339">
        <f t="shared" si="1"/>
        <v>48.828798370303048</v>
      </c>
    </row>
    <row r="26" spans="1:10" ht="15.75" x14ac:dyDescent="0.25">
      <c r="A26" s="340" t="s">
        <v>133</v>
      </c>
      <c r="B26" s="337">
        <v>902</v>
      </c>
      <c r="C26" s="341" t="s">
        <v>134</v>
      </c>
      <c r="D26" s="338"/>
      <c r="E26" s="338"/>
      <c r="F26" s="338"/>
      <c r="G26" s="339">
        <f>G27+G87+G104+G96</f>
        <v>62091.479999999996</v>
      </c>
      <c r="H26" s="339">
        <f>H27+H87+H104+H96</f>
        <v>30258.1</v>
      </c>
      <c r="I26" s="339">
        <f t="shared" si="1"/>
        <v>48.731484577272113</v>
      </c>
    </row>
    <row r="27" spans="1:10" ht="63" x14ac:dyDescent="0.25">
      <c r="A27" s="340" t="s">
        <v>165</v>
      </c>
      <c r="B27" s="337">
        <v>902</v>
      </c>
      <c r="C27" s="341" t="s">
        <v>134</v>
      </c>
      <c r="D27" s="341" t="s">
        <v>166</v>
      </c>
      <c r="E27" s="341"/>
      <c r="F27" s="341"/>
      <c r="G27" s="339">
        <f>G28+G69</f>
        <v>54630.7</v>
      </c>
      <c r="H27" s="339">
        <f>H28+H69</f>
        <v>26699.899999999998</v>
      </c>
      <c r="I27" s="339">
        <f t="shared" si="1"/>
        <v>48.87343563234591</v>
      </c>
    </row>
    <row r="28" spans="1:10" ht="31.5" x14ac:dyDescent="0.25">
      <c r="A28" s="340" t="s">
        <v>990</v>
      </c>
      <c r="B28" s="337">
        <v>902</v>
      </c>
      <c r="C28" s="341" t="s">
        <v>134</v>
      </c>
      <c r="D28" s="341" t="s">
        <v>166</v>
      </c>
      <c r="E28" s="341" t="s">
        <v>904</v>
      </c>
      <c r="F28" s="341"/>
      <c r="G28" s="44">
        <f>G29+G45</f>
        <v>54107.7</v>
      </c>
      <c r="H28" s="44">
        <f>H29+H45</f>
        <v>26419.999999999996</v>
      </c>
      <c r="I28" s="339">
        <f t="shared" si="1"/>
        <v>48.828540115362507</v>
      </c>
    </row>
    <row r="29" spans="1:10" s="218" customFormat="1" ht="15.75" x14ac:dyDescent="0.25">
      <c r="A29" s="340" t="s">
        <v>991</v>
      </c>
      <c r="B29" s="337">
        <v>902</v>
      </c>
      <c r="C29" s="341" t="s">
        <v>134</v>
      </c>
      <c r="D29" s="341" t="s">
        <v>166</v>
      </c>
      <c r="E29" s="341" t="s">
        <v>905</v>
      </c>
      <c r="F29" s="341"/>
      <c r="G29" s="44">
        <f>G30+G39+G42</f>
        <v>50855.1</v>
      </c>
      <c r="H29" s="44">
        <f>H30+H39+H42</f>
        <v>25053.699999999997</v>
      </c>
      <c r="I29" s="339">
        <f t="shared" si="1"/>
        <v>49.264872156381557</v>
      </c>
      <c r="J29" s="332"/>
    </row>
    <row r="30" spans="1:10" ht="31.5" x14ac:dyDescent="0.25">
      <c r="A30" s="342" t="s">
        <v>967</v>
      </c>
      <c r="B30" s="336">
        <v>902</v>
      </c>
      <c r="C30" s="338" t="s">
        <v>134</v>
      </c>
      <c r="D30" s="338" t="s">
        <v>166</v>
      </c>
      <c r="E30" s="338" t="s">
        <v>906</v>
      </c>
      <c r="F30" s="338"/>
      <c r="G30" s="343">
        <f>G31+G33+G37+G35</f>
        <v>46776.9</v>
      </c>
      <c r="H30" s="343">
        <f>H31+H33+H37+H35</f>
        <v>23012</v>
      </c>
      <c r="I30" s="343">
        <f t="shared" si="1"/>
        <v>49.195222428164328</v>
      </c>
    </row>
    <row r="31" spans="1:10" ht="63" x14ac:dyDescent="0.25">
      <c r="A31" s="342" t="s">
        <v>143</v>
      </c>
      <c r="B31" s="336">
        <v>902</v>
      </c>
      <c r="C31" s="338" t="s">
        <v>134</v>
      </c>
      <c r="D31" s="338" t="s">
        <v>166</v>
      </c>
      <c r="E31" s="338" t="s">
        <v>906</v>
      </c>
      <c r="F31" s="338" t="s">
        <v>144</v>
      </c>
      <c r="G31" s="343">
        <f>G32</f>
        <v>39664.9</v>
      </c>
      <c r="H31" s="343">
        <f>H32</f>
        <v>20365.7</v>
      </c>
      <c r="I31" s="343">
        <f t="shared" si="1"/>
        <v>51.344387607179144</v>
      </c>
    </row>
    <row r="32" spans="1:10" ht="31.5" x14ac:dyDescent="0.25">
      <c r="A32" s="342" t="s">
        <v>145</v>
      </c>
      <c r="B32" s="336">
        <v>902</v>
      </c>
      <c r="C32" s="338" t="s">
        <v>134</v>
      </c>
      <c r="D32" s="338" t="s">
        <v>166</v>
      </c>
      <c r="E32" s="338" t="s">
        <v>906</v>
      </c>
      <c r="F32" s="338" t="s">
        <v>146</v>
      </c>
      <c r="G32" s="344">
        <f>37513+1908+243.9</f>
        <v>39664.9</v>
      </c>
      <c r="H32" s="344">
        <v>20365.7</v>
      </c>
      <c r="I32" s="343">
        <f t="shared" si="1"/>
        <v>51.344387607179144</v>
      </c>
    </row>
    <row r="33" spans="1:10" ht="31.5" x14ac:dyDescent="0.25">
      <c r="A33" s="342" t="s">
        <v>147</v>
      </c>
      <c r="B33" s="336">
        <v>902</v>
      </c>
      <c r="C33" s="338" t="s">
        <v>134</v>
      </c>
      <c r="D33" s="338" t="s">
        <v>166</v>
      </c>
      <c r="E33" s="338" t="s">
        <v>906</v>
      </c>
      <c r="F33" s="338" t="s">
        <v>148</v>
      </c>
      <c r="G33" s="343">
        <f>G34</f>
        <v>7037</v>
      </c>
      <c r="H33" s="343">
        <f>H34</f>
        <v>2607.3000000000002</v>
      </c>
      <c r="I33" s="343">
        <f t="shared" si="1"/>
        <v>37.051300270001427</v>
      </c>
    </row>
    <row r="34" spans="1:10" ht="33.75" customHeight="1" x14ac:dyDescent="0.25">
      <c r="A34" s="342" t="s">
        <v>149</v>
      </c>
      <c r="B34" s="336">
        <v>902</v>
      </c>
      <c r="C34" s="338" t="s">
        <v>134</v>
      </c>
      <c r="D34" s="338" t="s">
        <v>166</v>
      </c>
      <c r="E34" s="338" t="s">
        <v>906</v>
      </c>
      <c r="F34" s="338" t="s">
        <v>150</v>
      </c>
      <c r="G34" s="344">
        <f>6647+615-1000-1200+500+350+794+180+151</f>
        <v>7037</v>
      </c>
      <c r="H34" s="344">
        <v>2607.3000000000002</v>
      </c>
      <c r="I34" s="343">
        <f t="shared" si="1"/>
        <v>37.051300270001427</v>
      </c>
    </row>
    <row r="35" spans="1:10" s="218" customFormat="1" ht="15.75" hidden="1" x14ac:dyDescent="0.25">
      <c r="A35" s="342" t="s">
        <v>264</v>
      </c>
      <c r="B35" s="336">
        <v>902</v>
      </c>
      <c r="C35" s="338" t="s">
        <v>134</v>
      </c>
      <c r="D35" s="338" t="s">
        <v>166</v>
      </c>
      <c r="E35" s="338" t="s">
        <v>906</v>
      </c>
      <c r="F35" s="338" t="s">
        <v>265</v>
      </c>
      <c r="G35" s="344">
        <f>G36</f>
        <v>0</v>
      </c>
      <c r="H35" s="344">
        <f>H36</f>
        <v>0</v>
      </c>
      <c r="I35" s="343" t="e">
        <f t="shared" si="1"/>
        <v>#DIV/0!</v>
      </c>
      <c r="J35" s="332"/>
    </row>
    <row r="36" spans="1:10" s="218" customFormat="1" ht="31.5" hidden="1" x14ac:dyDescent="0.25">
      <c r="A36" s="342" t="s">
        <v>266</v>
      </c>
      <c r="B36" s="336">
        <v>902</v>
      </c>
      <c r="C36" s="338" t="s">
        <v>134</v>
      </c>
      <c r="D36" s="338" t="s">
        <v>166</v>
      </c>
      <c r="E36" s="338" t="s">
        <v>906</v>
      </c>
      <c r="F36" s="338" t="s">
        <v>267</v>
      </c>
      <c r="G36" s="344">
        <f>755-755</f>
        <v>0</v>
      </c>
      <c r="H36" s="344">
        <f>755-755</f>
        <v>0</v>
      </c>
      <c r="I36" s="343" t="e">
        <f t="shared" si="1"/>
        <v>#DIV/0!</v>
      </c>
      <c r="J36" s="332"/>
    </row>
    <row r="37" spans="1:10" ht="15.75" x14ac:dyDescent="0.25">
      <c r="A37" s="342" t="s">
        <v>151</v>
      </c>
      <c r="B37" s="336">
        <v>902</v>
      </c>
      <c r="C37" s="338" t="s">
        <v>134</v>
      </c>
      <c r="D37" s="338" t="s">
        <v>166</v>
      </c>
      <c r="E37" s="338" t="s">
        <v>906</v>
      </c>
      <c r="F37" s="338" t="s">
        <v>161</v>
      </c>
      <c r="G37" s="343">
        <f>G38</f>
        <v>75.000000000000014</v>
      </c>
      <c r="H37" s="343">
        <f>H38</f>
        <v>39</v>
      </c>
      <c r="I37" s="343">
        <f t="shared" si="1"/>
        <v>51.999999999999993</v>
      </c>
    </row>
    <row r="38" spans="1:10" ht="15.75" x14ac:dyDescent="0.25">
      <c r="A38" s="342" t="s">
        <v>584</v>
      </c>
      <c r="B38" s="336">
        <v>902</v>
      </c>
      <c r="C38" s="338" t="s">
        <v>134</v>
      </c>
      <c r="D38" s="338" t="s">
        <v>166</v>
      </c>
      <c r="E38" s="338" t="s">
        <v>906</v>
      </c>
      <c r="F38" s="338" t="s">
        <v>154</v>
      </c>
      <c r="G38" s="344">
        <f>219.3-144-0.3</f>
        <v>75.000000000000014</v>
      </c>
      <c r="H38" s="344">
        <v>39</v>
      </c>
      <c r="I38" s="343">
        <f t="shared" si="1"/>
        <v>51.999999999999993</v>
      </c>
    </row>
    <row r="39" spans="1:10" s="218" customFormat="1" ht="31.5" x14ac:dyDescent="0.25">
      <c r="A39" s="342" t="s">
        <v>886</v>
      </c>
      <c r="B39" s="336">
        <v>902</v>
      </c>
      <c r="C39" s="338" t="s">
        <v>134</v>
      </c>
      <c r="D39" s="338" t="s">
        <v>166</v>
      </c>
      <c r="E39" s="338" t="s">
        <v>907</v>
      </c>
      <c r="F39" s="338"/>
      <c r="G39" s="344">
        <f>G40</f>
        <v>2524.1999999999998</v>
      </c>
      <c r="H39" s="344">
        <f>H40</f>
        <v>1273.0999999999999</v>
      </c>
      <c r="I39" s="343">
        <f t="shared" si="1"/>
        <v>50.435781633784963</v>
      </c>
      <c r="J39" s="332"/>
    </row>
    <row r="40" spans="1:10" s="218" customFormat="1" ht="63" x14ac:dyDescent="0.25">
      <c r="A40" s="342" t="s">
        <v>143</v>
      </c>
      <c r="B40" s="336">
        <v>902</v>
      </c>
      <c r="C40" s="338" t="s">
        <v>134</v>
      </c>
      <c r="D40" s="338" t="s">
        <v>166</v>
      </c>
      <c r="E40" s="338" t="s">
        <v>907</v>
      </c>
      <c r="F40" s="338" t="s">
        <v>144</v>
      </c>
      <c r="G40" s="344">
        <f>G41</f>
        <v>2524.1999999999998</v>
      </c>
      <c r="H40" s="344">
        <f>H41</f>
        <v>1273.0999999999999</v>
      </c>
      <c r="I40" s="343">
        <f t="shared" si="1"/>
        <v>50.435781633784963</v>
      </c>
      <c r="J40" s="332"/>
    </row>
    <row r="41" spans="1:10" s="218" customFormat="1" ht="31.5" x14ac:dyDescent="0.25">
      <c r="A41" s="342" t="s">
        <v>145</v>
      </c>
      <c r="B41" s="336">
        <v>902</v>
      </c>
      <c r="C41" s="338" t="s">
        <v>134</v>
      </c>
      <c r="D41" s="338" t="s">
        <v>166</v>
      </c>
      <c r="E41" s="338" t="s">
        <v>907</v>
      </c>
      <c r="F41" s="338" t="s">
        <v>146</v>
      </c>
      <c r="G41" s="344">
        <f>2962+42.2-480</f>
        <v>2524.1999999999998</v>
      </c>
      <c r="H41" s="344">
        <v>1273.0999999999999</v>
      </c>
      <c r="I41" s="343">
        <f t="shared" si="1"/>
        <v>50.435781633784963</v>
      </c>
      <c r="J41" s="332"/>
    </row>
    <row r="42" spans="1:10" s="218" customFormat="1" ht="31.5" x14ac:dyDescent="0.25">
      <c r="A42" s="342" t="s">
        <v>885</v>
      </c>
      <c r="B42" s="336">
        <v>902</v>
      </c>
      <c r="C42" s="338" t="s">
        <v>134</v>
      </c>
      <c r="D42" s="338" t="s">
        <v>166</v>
      </c>
      <c r="E42" s="338" t="s">
        <v>908</v>
      </c>
      <c r="F42" s="338"/>
      <c r="G42" s="343">
        <f>G43</f>
        <v>1554</v>
      </c>
      <c r="H42" s="343">
        <f>H43</f>
        <v>768.6</v>
      </c>
      <c r="I42" s="343">
        <f t="shared" si="1"/>
        <v>49.45945945945946</v>
      </c>
      <c r="J42" s="332"/>
    </row>
    <row r="43" spans="1:10" s="218" customFormat="1" ht="63" x14ac:dyDescent="0.25">
      <c r="A43" s="342" t="s">
        <v>143</v>
      </c>
      <c r="B43" s="336">
        <v>902</v>
      </c>
      <c r="C43" s="338" t="s">
        <v>134</v>
      </c>
      <c r="D43" s="338" t="s">
        <v>166</v>
      </c>
      <c r="E43" s="338" t="s">
        <v>908</v>
      </c>
      <c r="F43" s="338" t="s">
        <v>144</v>
      </c>
      <c r="G43" s="343">
        <f>G44</f>
        <v>1554</v>
      </c>
      <c r="H43" s="343">
        <f>H44</f>
        <v>768.6</v>
      </c>
      <c r="I43" s="343">
        <f t="shared" si="1"/>
        <v>49.45945945945946</v>
      </c>
      <c r="J43" s="332"/>
    </row>
    <row r="44" spans="1:10" s="218" customFormat="1" ht="31.5" x14ac:dyDescent="0.25">
      <c r="A44" s="342" t="s">
        <v>145</v>
      </c>
      <c r="B44" s="336">
        <v>902</v>
      </c>
      <c r="C44" s="338" t="s">
        <v>134</v>
      </c>
      <c r="D44" s="338" t="s">
        <v>166</v>
      </c>
      <c r="E44" s="338" t="s">
        <v>908</v>
      </c>
      <c r="F44" s="338" t="s">
        <v>146</v>
      </c>
      <c r="G44" s="343">
        <v>1554</v>
      </c>
      <c r="H44" s="343">
        <v>768.6</v>
      </c>
      <c r="I44" s="343">
        <f t="shared" si="1"/>
        <v>49.45945945945946</v>
      </c>
      <c r="J44" s="332"/>
    </row>
    <row r="45" spans="1:10" s="218" customFormat="1" ht="31.5" x14ac:dyDescent="0.25">
      <c r="A45" s="340" t="s">
        <v>932</v>
      </c>
      <c r="B45" s="337">
        <v>902</v>
      </c>
      <c r="C45" s="341" t="s">
        <v>134</v>
      </c>
      <c r="D45" s="341" t="s">
        <v>166</v>
      </c>
      <c r="E45" s="341" t="s">
        <v>909</v>
      </c>
      <c r="F45" s="341"/>
      <c r="G45" s="339">
        <f>G46+G54+G59+G64+G49</f>
        <v>3252.6</v>
      </c>
      <c r="H45" s="339">
        <f>H46+H54+H59+H64+H49</f>
        <v>1366.3000000000002</v>
      </c>
      <c r="I45" s="339">
        <f t="shared" si="1"/>
        <v>42.006394884092735</v>
      </c>
      <c r="J45" s="332"/>
    </row>
    <row r="46" spans="1:10" s="218" customFormat="1" ht="35.450000000000003" customHeight="1" x14ac:dyDescent="0.25">
      <c r="A46" s="342" t="s">
        <v>802</v>
      </c>
      <c r="B46" s="336">
        <v>902</v>
      </c>
      <c r="C46" s="338" t="s">
        <v>134</v>
      </c>
      <c r="D46" s="338" t="s">
        <v>166</v>
      </c>
      <c r="E46" s="338" t="s">
        <v>992</v>
      </c>
      <c r="F46" s="341"/>
      <c r="G46" s="343">
        <f>G47</f>
        <v>6</v>
      </c>
      <c r="H46" s="343">
        <f>H47</f>
        <v>0</v>
      </c>
      <c r="I46" s="343">
        <f t="shared" si="1"/>
        <v>0</v>
      </c>
      <c r="J46" s="332"/>
    </row>
    <row r="47" spans="1:10" s="218" customFormat="1" ht="31.5" x14ac:dyDescent="0.25">
      <c r="A47" s="342" t="s">
        <v>147</v>
      </c>
      <c r="B47" s="336">
        <v>902</v>
      </c>
      <c r="C47" s="338" t="s">
        <v>134</v>
      </c>
      <c r="D47" s="338" t="s">
        <v>166</v>
      </c>
      <c r="E47" s="338" t="s">
        <v>992</v>
      </c>
      <c r="F47" s="338" t="s">
        <v>148</v>
      </c>
      <c r="G47" s="343">
        <f>G48</f>
        <v>6</v>
      </c>
      <c r="H47" s="343">
        <f>H48</f>
        <v>0</v>
      </c>
      <c r="I47" s="343">
        <f t="shared" si="1"/>
        <v>0</v>
      </c>
      <c r="J47" s="332"/>
    </row>
    <row r="48" spans="1:10" s="218" customFormat="1" ht="31.5" x14ac:dyDescent="0.25">
      <c r="A48" s="342" t="s">
        <v>149</v>
      </c>
      <c r="B48" s="336">
        <v>902</v>
      </c>
      <c r="C48" s="338" t="s">
        <v>134</v>
      </c>
      <c r="D48" s="338" t="s">
        <v>166</v>
      </c>
      <c r="E48" s="338" t="s">
        <v>992</v>
      </c>
      <c r="F48" s="338" t="s">
        <v>150</v>
      </c>
      <c r="G48" s="343">
        <v>6</v>
      </c>
      <c r="H48" s="343">
        <v>0</v>
      </c>
      <c r="I48" s="343">
        <f t="shared" si="1"/>
        <v>0</v>
      </c>
      <c r="J48" s="332"/>
    </row>
    <row r="49" spans="1:10" s="218" customFormat="1" ht="47.25" x14ac:dyDescent="0.25">
      <c r="A49" s="31" t="s">
        <v>1416</v>
      </c>
      <c r="B49" s="336">
        <v>902</v>
      </c>
      <c r="C49" s="338" t="s">
        <v>134</v>
      </c>
      <c r="D49" s="338" t="s">
        <v>166</v>
      </c>
      <c r="E49" s="338" t="s">
        <v>1415</v>
      </c>
      <c r="F49" s="338"/>
      <c r="G49" s="343">
        <f>G50+G52</f>
        <v>92.6</v>
      </c>
      <c r="H49" s="343">
        <f>H50+H52</f>
        <v>0</v>
      </c>
      <c r="I49" s="343">
        <f t="shared" si="1"/>
        <v>0</v>
      </c>
      <c r="J49" s="332"/>
    </row>
    <row r="50" spans="1:10" s="218" customFormat="1" ht="63" hidden="1" x14ac:dyDescent="0.25">
      <c r="A50" s="342" t="s">
        <v>143</v>
      </c>
      <c r="B50" s="336">
        <v>902</v>
      </c>
      <c r="C50" s="338" t="s">
        <v>134</v>
      </c>
      <c r="D50" s="338" t="s">
        <v>166</v>
      </c>
      <c r="E50" s="338" t="s">
        <v>1415</v>
      </c>
      <c r="F50" s="338" t="s">
        <v>144</v>
      </c>
      <c r="G50" s="343">
        <f>G51</f>
        <v>0</v>
      </c>
      <c r="H50" s="343">
        <f>H51</f>
        <v>0</v>
      </c>
      <c r="I50" s="343" t="e">
        <f t="shared" si="1"/>
        <v>#DIV/0!</v>
      </c>
      <c r="J50" s="332"/>
    </row>
    <row r="51" spans="1:10" s="218" customFormat="1" ht="31.5" hidden="1" x14ac:dyDescent="0.25">
      <c r="A51" s="342" t="s">
        <v>145</v>
      </c>
      <c r="B51" s="336">
        <v>902</v>
      </c>
      <c r="C51" s="338" t="s">
        <v>134</v>
      </c>
      <c r="D51" s="338" t="s">
        <v>166</v>
      </c>
      <c r="E51" s="338" t="s">
        <v>1415</v>
      </c>
      <c r="F51" s="338" t="s">
        <v>146</v>
      </c>
      <c r="G51" s="343">
        <f>92.6-92.6</f>
        <v>0</v>
      </c>
      <c r="H51" s="343">
        <f>92.6-92.6</f>
        <v>0</v>
      </c>
      <c r="I51" s="343" t="e">
        <f t="shared" si="1"/>
        <v>#DIV/0!</v>
      </c>
      <c r="J51" s="332"/>
    </row>
    <row r="52" spans="1:10" s="332" customFormat="1" ht="31.5" x14ac:dyDescent="0.25">
      <c r="A52" s="342" t="s">
        <v>147</v>
      </c>
      <c r="B52" s="336">
        <v>902</v>
      </c>
      <c r="C52" s="338" t="s">
        <v>134</v>
      </c>
      <c r="D52" s="338" t="s">
        <v>166</v>
      </c>
      <c r="E52" s="338" t="s">
        <v>1415</v>
      </c>
      <c r="F52" s="338" t="s">
        <v>148</v>
      </c>
      <c r="G52" s="343">
        <f>G53</f>
        <v>92.6</v>
      </c>
      <c r="H52" s="343">
        <f>H53</f>
        <v>0</v>
      </c>
      <c r="I52" s="343">
        <f t="shared" si="1"/>
        <v>0</v>
      </c>
    </row>
    <row r="53" spans="1:10" s="332" customFormat="1" ht="31.5" x14ac:dyDescent="0.25">
      <c r="A53" s="342" t="s">
        <v>149</v>
      </c>
      <c r="B53" s="336">
        <v>902</v>
      </c>
      <c r="C53" s="338" t="s">
        <v>134</v>
      </c>
      <c r="D53" s="338" t="s">
        <v>166</v>
      </c>
      <c r="E53" s="338" t="s">
        <v>1415</v>
      </c>
      <c r="F53" s="338" t="s">
        <v>150</v>
      </c>
      <c r="G53" s="343">
        <v>92.6</v>
      </c>
      <c r="H53" s="343">
        <v>0</v>
      </c>
      <c r="I53" s="343">
        <f t="shared" si="1"/>
        <v>0</v>
      </c>
    </row>
    <row r="54" spans="1:10" s="218" customFormat="1" ht="47.25" x14ac:dyDescent="0.25">
      <c r="A54" s="31" t="s">
        <v>205</v>
      </c>
      <c r="B54" s="336">
        <v>902</v>
      </c>
      <c r="C54" s="338" t="s">
        <v>134</v>
      </c>
      <c r="D54" s="338" t="s">
        <v>166</v>
      </c>
      <c r="E54" s="338" t="s">
        <v>993</v>
      </c>
      <c r="F54" s="338"/>
      <c r="G54" s="343">
        <f>G55+G57</f>
        <v>604.80000000000007</v>
      </c>
      <c r="H54" s="343">
        <f>H55+H57</f>
        <v>312.5</v>
      </c>
      <c r="I54" s="343">
        <f t="shared" si="1"/>
        <v>51.669973544973537</v>
      </c>
      <c r="J54" s="332"/>
    </row>
    <row r="55" spans="1:10" s="218" customFormat="1" ht="63" x14ac:dyDescent="0.25">
      <c r="A55" s="342" t="s">
        <v>143</v>
      </c>
      <c r="B55" s="336">
        <v>902</v>
      </c>
      <c r="C55" s="338" t="s">
        <v>134</v>
      </c>
      <c r="D55" s="338" t="s">
        <v>166</v>
      </c>
      <c r="E55" s="338" t="s">
        <v>993</v>
      </c>
      <c r="F55" s="338" t="s">
        <v>144</v>
      </c>
      <c r="G55" s="343">
        <f>G56</f>
        <v>528.70000000000005</v>
      </c>
      <c r="H55" s="343">
        <f>H56</f>
        <v>312.5</v>
      </c>
      <c r="I55" s="343">
        <f t="shared" si="1"/>
        <v>59.107244183847165</v>
      </c>
      <c r="J55" s="332"/>
    </row>
    <row r="56" spans="1:10" s="218" customFormat="1" ht="31.5" x14ac:dyDescent="0.25">
      <c r="A56" s="342" t="s">
        <v>145</v>
      </c>
      <c r="B56" s="336">
        <v>902</v>
      </c>
      <c r="C56" s="338" t="s">
        <v>134</v>
      </c>
      <c r="D56" s="338" t="s">
        <v>166</v>
      </c>
      <c r="E56" s="338" t="s">
        <v>993</v>
      </c>
      <c r="F56" s="338" t="s">
        <v>146</v>
      </c>
      <c r="G56" s="343">
        <f>715.9-223+10.3+25.5</f>
        <v>528.70000000000005</v>
      </c>
      <c r="H56" s="343">
        <v>312.5</v>
      </c>
      <c r="I56" s="343">
        <f t="shared" si="1"/>
        <v>59.107244183847165</v>
      </c>
      <c r="J56" s="332"/>
    </row>
    <row r="57" spans="1:10" s="218" customFormat="1" ht="31.5" x14ac:dyDescent="0.25">
      <c r="A57" s="342" t="s">
        <v>147</v>
      </c>
      <c r="B57" s="336">
        <v>902</v>
      </c>
      <c r="C57" s="338" t="s">
        <v>134</v>
      </c>
      <c r="D57" s="338" t="s">
        <v>166</v>
      </c>
      <c r="E57" s="338" t="s">
        <v>993</v>
      </c>
      <c r="F57" s="338" t="s">
        <v>148</v>
      </c>
      <c r="G57" s="343">
        <f>G58</f>
        <v>76.099999999999994</v>
      </c>
      <c r="H57" s="343">
        <f>H58</f>
        <v>0</v>
      </c>
      <c r="I57" s="343">
        <f t="shared" si="1"/>
        <v>0</v>
      </c>
      <c r="J57" s="332"/>
    </row>
    <row r="58" spans="1:10" s="218" customFormat="1" ht="31.5" x14ac:dyDescent="0.25">
      <c r="A58" s="342" t="s">
        <v>149</v>
      </c>
      <c r="B58" s="336">
        <v>902</v>
      </c>
      <c r="C58" s="338" t="s">
        <v>134</v>
      </c>
      <c r="D58" s="338" t="s">
        <v>166</v>
      </c>
      <c r="E58" s="338" t="s">
        <v>993</v>
      </c>
      <c r="F58" s="338" t="s">
        <v>150</v>
      </c>
      <c r="G58" s="343">
        <v>76.099999999999994</v>
      </c>
      <c r="H58" s="343">
        <v>0</v>
      </c>
      <c r="I58" s="343">
        <f t="shared" si="1"/>
        <v>0</v>
      </c>
      <c r="J58" s="332"/>
    </row>
    <row r="59" spans="1:10" s="218" customFormat="1" ht="47.25" x14ac:dyDescent="0.25">
      <c r="A59" s="31" t="s">
        <v>210</v>
      </c>
      <c r="B59" s="336">
        <v>902</v>
      </c>
      <c r="C59" s="338" t="s">
        <v>134</v>
      </c>
      <c r="D59" s="338" t="s">
        <v>166</v>
      </c>
      <c r="E59" s="338" t="s">
        <v>1195</v>
      </c>
      <c r="F59" s="338"/>
      <c r="G59" s="343">
        <f>G60+G62</f>
        <v>1433.3</v>
      </c>
      <c r="H59" s="343">
        <f>H60+H62</f>
        <v>637.40000000000009</v>
      </c>
      <c r="I59" s="343">
        <f t="shared" si="1"/>
        <v>44.47080164654993</v>
      </c>
      <c r="J59" s="332"/>
    </row>
    <row r="60" spans="1:10" s="218" customFormat="1" ht="63" x14ac:dyDescent="0.25">
      <c r="A60" s="342" t="s">
        <v>143</v>
      </c>
      <c r="B60" s="336">
        <v>902</v>
      </c>
      <c r="C60" s="338" t="s">
        <v>134</v>
      </c>
      <c r="D60" s="338" t="s">
        <v>166</v>
      </c>
      <c r="E60" s="338" t="s">
        <v>1195</v>
      </c>
      <c r="F60" s="338" t="s">
        <v>144</v>
      </c>
      <c r="G60" s="343">
        <f>G61</f>
        <v>1372.1</v>
      </c>
      <c r="H60" s="343">
        <f>H61</f>
        <v>623.20000000000005</v>
      </c>
      <c r="I60" s="343">
        <f t="shared" si="1"/>
        <v>45.41943007069456</v>
      </c>
      <c r="J60" s="332"/>
    </row>
    <row r="61" spans="1:10" s="218" customFormat="1" ht="31.5" x14ac:dyDescent="0.25">
      <c r="A61" s="342" t="s">
        <v>145</v>
      </c>
      <c r="B61" s="336">
        <v>902</v>
      </c>
      <c r="C61" s="338" t="s">
        <v>134</v>
      </c>
      <c r="D61" s="338" t="s">
        <v>166</v>
      </c>
      <c r="E61" s="338" t="s">
        <v>1195</v>
      </c>
      <c r="F61" s="338" t="s">
        <v>146</v>
      </c>
      <c r="G61" s="343">
        <f>1333.1-39.7-21.5+100.2</f>
        <v>1372.1</v>
      </c>
      <c r="H61" s="343">
        <v>623.20000000000005</v>
      </c>
      <c r="I61" s="343">
        <f t="shared" si="1"/>
        <v>45.41943007069456</v>
      </c>
      <c r="J61" s="332"/>
    </row>
    <row r="62" spans="1:10" s="218" customFormat="1" ht="31.5" x14ac:dyDescent="0.25">
      <c r="A62" s="342" t="s">
        <v>147</v>
      </c>
      <c r="B62" s="336">
        <v>902</v>
      </c>
      <c r="C62" s="338" t="s">
        <v>134</v>
      </c>
      <c r="D62" s="338" t="s">
        <v>166</v>
      </c>
      <c r="E62" s="338" t="s">
        <v>1195</v>
      </c>
      <c r="F62" s="338" t="s">
        <v>148</v>
      </c>
      <c r="G62" s="343">
        <f>G63</f>
        <v>61.2</v>
      </c>
      <c r="H62" s="343">
        <f>H63</f>
        <v>14.2</v>
      </c>
      <c r="I62" s="343">
        <f t="shared" si="1"/>
        <v>23.202614379084967</v>
      </c>
      <c r="J62" s="332"/>
    </row>
    <row r="63" spans="1:10" s="218" customFormat="1" ht="31.5" x14ac:dyDescent="0.25">
      <c r="A63" s="342" t="s">
        <v>149</v>
      </c>
      <c r="B63" s="336">
        <v>902</v>
      </c>
      <c r="C63" s="338" t="s">
        <v>134</v>
      </c>
      <c r="D63" s="338" t="s">
        <v>166</v>
      </c>
      <c r="E63" s="338" t="s">
        <v>1195</v>
      </c>
      <c r="F63" s="338" t="s">
        <v>150</v>
      </c>
      <c r="G63" s="343">
        <f>156.9-116.5-0.7+21.5</f>
        <v>61.2</v>
      </c>
      <c r="H63" s="343">
        <v>14.2</v>
      </c>
      <c r="I63" s="343">
        <f t="shared" si="1"/>
        <v>23.202614379084967</v>
      </c>
      <c r="J63" s="332"/>
    </row>
    <row r="64" spans="1:10" s="218" customFormat="1" ht="31.5" x14ac:dyDescent="0.25">
      <c r="A64" s="31" t="s">
        <v>212</v>
      </c>
      <c r="B64" s="336">
        <v>902</v>
      </c>
      <c r="C64" s="338" t="s">
        <v>134</v>
      </c>
      <c r="D64" s="338" t="s">
        <v>166</v>
      </c>
      <c r="E64" s="338" t="s">
        <v>994</v>
      </c>
      <c r="F64" s="338"/>
      <c r="G64" s="343">
        <f>G65+G67</f>
        <v>1115.9000000000001</v>
      </c>
      <c r="H64" s="343">
        <f>H65+H67</f>
        <v>416.40000000000003</v>
      </c>
      <c r="I64" s="343">
        <f t="shared" si="1"/>
        <v>37.31517161035935</v>
      </c>
      <c r="J64" s="332"/>
    </row>
    <row r="65" spans="1:10" s="218" customFormat="1" ht="63" x14ac:dyDescent="0.25">
      <c r="A65" s="342" t="s">
        <v>143</v>
      </c>
      <c r="B65" s="336">
        <v>902</v>
      </c>
      <c r="C65" s="338" t="s">
        <v>134</v>
      </c>
      <c r="D65" s="338" t="s">
        <v>166</v>
      </c>
      <c r="E65" s="338" t="s">
        <v>994</v>
      </c>
      <c r="F65" s="338" t="s">
        <v>144</v>
      </c>
      <c r="G65" s="343">
        <f>G66</f>
        <v>1081.9000000000001</v>
      </c>
      <c r="H65" s="343">
        <f>H66</f>
        <v>411.6</v>
      </c>
      <c r="I65" s="343">
        <f t="shared" si="1"/>
        <v>38.044181532489141</v>
      </c>
      <c r="J65" s="332"/>
    </row>
    <row r="66" spans="1:10" s="218" customFormat="1" ht="31.5" x14ac:dyDescent="0.25">
      <c r="A66" s="342" t="s">
        <v>145</v>
      </c>
      <c r="B66" s="336">
        <v>902</v>
      </c>
      <c r="C66" s="338" t="s">
        <v>134</v>
      </c>
      <c r="D66" s="338" t="s">
        <v>166</v>
      </c>
      <c r="E66" s="338" t="s">
        <v>994</v>
      </c>
      <c r="F66" s="338" t="s">
        <v>146</v>
      </c>
      <c r="G66" s="343">
        <f>1026.5+55.4</f>
        <v>1081.9000000000001</v>
      </c>
      <c r="H66" s="343">
        <v>411.6</v>
      </c>
      <c r="I66" s="343">
        <f t="shared" si="1"/>
        <v>38.044181532489141</v>
      </c>
      <c r="J66" s="332"/>
    </row>
    <row r="67" spans="1:10" s="218" customFormat="1" ht="31.5" x14ac:dyDescent="0.25">
      <c r="A67" s="342" t="s">
        <v>214</v>
      </c>
      <c r="B67" s="336">
        <v>902</v>
      </c>
      <c r="C67" s="338" t="s">
        <v>134</v>
      </c>
      <c r="D67" s="338" t="s">
        <v>166</v>
      </c>
      <c r="E67" s="338" t="s">
        <v>994</v>
      </c>
      <c r="F67" s="338" t="s">
        <v>148</v>
      </c>
      <c r="G67" s="343">
        <f>G68</f>
        <v>34.000000000000007</v>
      </c>
      <c r="H67" s="343">
        <f>H68</f>
        <v>4.8</v>
      </c>
      <c r="I67" s="343">
        <f t="shared" si="1"/>
        <v>14.117647058823527</v>
      </c>
      <c r="J67" s="332"/>
    </row>
    <row r="68" spans="1:10" s="218" customFormat="1" ht="31.5" x14ac:dyDescent="0.25">
      <c r="A68" s="342" t="s">
        <v>149</v>
      </c>
      <c r="B68" s="336">
        <v>902</v>
      </c>
      <c r="C68" s="338" t="s">
        <v>134</v>
      </c>
      <c r="D68" s="338" t="s">
        <v>166</v>
      </c>
      <c r="E68" s="338" t="s">
        <v>994</v>
      </c>
      <c r="F68" s="338" t="s">
        <v>150</v>
      </c>
      <c r="G68" s="343">
        <f>89.4-55.4</f>
        <v>34.000000000000007</v>
      </c>
      <c r="H68" s="343">
        <v>4.8</v>
      </c>
      <c r="I68" s="343">
        <f t="shared" si="1"/>
        <v>14.117647058823527</v>
      </c>
      <c r="J68" s="332"/>
    </row>
    <row r="69" spans="1:10" s="218" customFormat="1" ht="47.25" x14ac:dyDescent="0.25">
      <c r="A69" s="340" t="s">
        <v>820</v>
      </c>
      <c r="B69" s="337">
        <v>902</v>
      </c>
      <c r="C69" s="341" t="s">
        <v>134</v>
      </c>
      <c r="D69" s="341" t="s">
        <v>166</v>
      </c>
      <c r="E69" s="341" t="s">
        <v>178</v>
      </c>
      <c r="F69" s="341"/>
      <c r="G69" s="339">
        <f>G70+G74+G80</f>
        <v>523</v>
      </c>
      <c r="H69" s="339">
        <f>H70+H74+H80</f>
        <v>279.90000000000003</v>
      </c>
      <c r="I69" s="339">
        <f t="shared" si="1"/>
        <v>53.518164435946467</v>
      </c>
      <c r="J69" s="332"/>
    </row>
    <row r="70" spans="1:10" s="218" customFormat="1" ht="47.25" x14ac:dyDescent="0.25">
      <c r="A70" s="233" t="s">
        <v>1155</v>
      </c>
      <c r="B70" s="337">
        <v>902</v>
      </c>
      <c r="C70" s="341" t="s">
        <v>134</v>
      </c>
      <c r="D70" s="341" t="s">
        <v>166</v>
      </c>
      <c r="E70" s="334" t="s">
        <v>895</v>
      </c>
      <c r="F70" s="341"/>
      <c r="G70" s="339">
        <f t="shared" ref="G70:H72" si="2">G71</f>
        <v>446</v>
      </c>
      <c r="H70" s="339">
        <f t="shared" si="2"/>
        <v>261.60000000000002</v>
      </c>
      <c r="I70" s="339">
        <f t="shared" si="1"/>
        <v>58.654708520179376</v>
      </c>
      <c r="J70" s="332"/>
    </row>
    <row r="71" spans="1:10" s="218" customFormat="1" ht="31.5" x14ac:dyDescent="0.25">
      <c r="A71" s="345" t="s">
        <v>1154</v>
      </c>
      <c r="B71" s="336">
        <v>902</v>
      </c>
      <c r="C71" s="338" t="s">
        <v>134</v>
      </c>
      <c r="D71" s="338" t="s">
        <v>166</v>
      </c>
      <c r="E71" s="346" t="s">
        <v>887</v>
      </c>
      <c r="F71" s="338"/>
      <c r="G71" s="343">
        <f t="shared" si="2"/>
        <v>446</v>
      </c>
      <c r="H71" s="343">
        <f t="shared" si="2"/>
        <v>261.60000000000002</v>
      </c>
      <c r="I71" s="343">
        <f t="shared" si="1"/>
        <v>58.654708520179376</v>
      </c>
      <c r="J71" s="332"/>
    </row>
    <row r="72" spans="1:10" s="218" customFormat="1" ht="31.5" x14ac:dyDescent="0.25">
      <c r="A72" s="342" t="s">
        <v>147</v>
      </c>
      <c r="B72" s="336">
        <v>902</v>
      </c>
      <c r="C72" s="338" t="s">
        <v>134</v>
      </c>
      <c r="D72" s="338" t="s">
        <v>166</v>
      </c>
      <c r="E72" s="346" t="s">
        <v>887</v>
      </c>
      <c r="F72" s="338" t="s">
        <v>148</v>
      </c>
      <c r="G72" s="343">
        <f t="shared" si="2"/>
        <v>446</v>
      </c>
      <c r="H72" s="343">
        <f t="shared" si="2"/>
        <v>261.60000000000002</v>
      </c>
      <c r="I72" s="343">
        <f t="shared" si="1"/>
        <v>58.654708520179376</v>
      </c>
      <c r="J72" s="332"/>
    </row>
    <row r="73" spans="1:10" s="218" customFormat="1" ht="31.5" x14ac:dyDescent="0.25">
      <c r="A73" s="342" t="s">
        <v>149</v>
      </c>
      <c r="B73" s="336">
        <v>902</v>
      </c>
      <c r="C73" s="338" t="s">
        <v>134</v>
      </c>
      <c r="D73" s="338" t="s">
        <v>166</v>
      </c>
      <c r="E73" s="346" t="s">
        <v>887</v>
      </c>
      <c r="F73" s="338" t="s">
        <v>150</v>
      </c>
      <c r="G73" s="343">
        <v>446</v>
      </c>
      <c r="H73" s="343">
        <v>261.60000000000002</v>
      </c>
      <c r="I73" s="343">
        <f t="shared" si="1"/>
        <v>58.654708520179376</v>
      </c>
      <c r="J73" s="332"/>
    </row>
    <row r="74" spans="1:10" s="218" customFormat="1" ht="63" x14ac:dyDescent="0.25">
      <c r="A74" s="232" t="s">
        <v>889</v>
      </c>
      <c r="B74" s="337">
        <v>902</v>
      </c>
      <c r="C74" s="341" t="s">
        <v>134</v>
      </c>
      <c r="D74" s="341" t="s">
        <v>166</v>
      </c>
      <c r="E74" s="334" t="s">
        <v>896</v>
      </c>
      <c r="F74" s="341"/>
      <c r="G74" s="339">
        <f>G75</f>
        <v>76.5</v>
      </c>
      <c r="H74" s="339">
        <f>H75</f>
        <v>18.3</v>
      </c>
      <c r="I74" s="339">
        <f t="shared" si="1"/>
        <v>23.921568627450981</v>
      </c>
      <c r="J74" s="332"/>
    </row>
    <row r="75" spans="1:10" s="218" customFormat="1" ht="47.25" x14ac:dyDescent="0.25">
      <c r="A75" s="178" t="s">
        <v>181</v>
      </c>
      <c r="B75" s="336">
        <v>902</v>
      </c>
      <c r="C75" s="338" t="s">
        <v>134</v>
      </c>
      <c r="D75" s="338" t="s">
        <v>166</v>
      </c>
      <c r="E75" s="346" t="s">
        <v>888</v>
      </c>
      <c r="F75" s="338"/>
      <c r="G75" s="343">
        <f>G76+G78</f>
        <v>76.5</v>
      </c>
      <c r="H75" s="343">
        <f>H76+H78</f>
        <v>18.3</v>
      </c>
      <c r="I75" s="343">
        <f t="shared" ref="I75:I138" si="3">H75/G75*100</f>
        <v>23.921568627450981</v>
      </c>
      <c r="J75" s="332"/>
    </row>
    <row r="76" spans="1:10" s="218" customFormat="1" ht="63" x14ac:dyDescent="0.25">
      <c r="A76" s="342" t="s">
        <v>143</v>
      </c>
      <c r="B76" s="336">
        <v>902</v>
      </c>
      <c r="C76" s="338" t="s">
        <v>134</v>
      </c>
      <c r="D76" s="338" t="s">
        <v>166</v>
      </c>
      <c r="E76" s="346" t="s">
        <v>888</v>
      </c>
      <c r="F76" s="338" t="s">
        <v>144</v>
      </c>
      <c r="G76" s="343">
        <f>G77</f>
        <v>37</v>
      </c>
      <c r="H76" s="343">
        <f>H77</f>
        <v>0</v>
      </c>
      <c r="I76" s="343">
        <f t="shared" si="3"/>
        <v>0</v>
      </c>
      <c r="J76" s="332"/>
    </row>
    <row r="77" spans="1:10" s="218" customFormat="1" ht="31.5" x14ac:dyDescent="0.25">
      <c r="A77" s="342" t="s">
        <v>145</v>
      </c>
      <c r="B77" s="336">
        <v>902</v>
      </c>
      <c r="C77" s="338" t="s">
        <v>134</v>
      </c>
      <c r="D77" s="338" t="s">
        <v>166</v>
      </c>
      <c r="E77" s="346" t="s">
        <v>888</v>
      </c>
      <c r="F77" s="338" t="s">
        <v>146</v>
      </c>
      <c r="G77" s="343">
        <v>37</v>
      </c>
      <c r="H77" s="343">
        <v>0</v>
      </c>
      <c r="I77" s="343">
        <f t="shared" si="3"/>
        <v>0</v>
      </c>
      <c r="J77" s="332"/>
    </row>
    <row r="78" spans="1:10" s="218" customFormat="1" ht="31.5" x14ac:dyDescent="0.25">
      <c r="A78" s="342" t="s">
        <v>147</v>
      </c>
      <c r="B78" s="336">
        <v>902</v>
      </c>
      <c r="C78" s="338" t="s">
        <v>134</v>
      </c>
      <c r="D78" s="338" t="s">
        <v>166</v>
      </c>
      <c r="E78" s="346" t="s">
        <v>888</v>
      </c>
      <c r="F78" s="338" t="s">
        <v>148</v>
      </c>
      <c r="G78" s="343">
        <f>G79</f>
        <v>39.5</v>
      </c>
      <c r="H78" s="343">
        <f>H79</f>
        <v>18.3</v>
      </c>
      <c r="I78" s="343">
        <f t="shared" si="3"/>
        <v>46.329113924050638</v>
      </c>
      <c r="J78" s="332"/>
    </row>
    <row r="79" spans="1:10" s="218" customFormat="1" ht="31.5" x14ac:dyDescent="0.25">
      <c r="A79" s="342" t="s">
        <v>149</v>
      </c>
      <c r="B79" s="336">
        <v>902</v>
      </c>
      <c r="C79" s="338" t="s">
        <v>134</v>
      </c>
      <c r="D79" s="338" t="s">
        <v>166</v>
      </c>
      <c r="E79" s="346" t="s">
        <v>888</v>
      </c>
      <c r="F79" s="338" t="s">
        <v>150</v>
      </c>
      <c r="G79" s="343">
        <f>40-0.5</f>
        <v>39.5</v>
      </c>
      <c r="H79" s="343">
        <v>18.3</v>
      </c>
      <c r="I79" s="343">
        <f t="shared" si="3"/>
        <v>46.329113924050638</v>
      </c>
      <c r="J79" s="332"/>
    </row>
    <row r="80" spans="1:10" s="218" customFormat="1" ht="51" customHeight="1" x14ac:dyDescent="0.25">
      <c r="A80" s="234" t="s">
        <v>1156</v>
      </c>
      <c r="B80" s="337">
        <v>902</v>
      </c>
      <c r="C80" s="341" t="s">
        <v>134</v>
      </c>
      <c r="D80" s="341" t="s">
        <v>166</v>
      </c>
      <c r="E80" s="334" t="s">
        <v>897</v>
      </c>
      <c r="F80" s="341"/>
      <c r="G80" s="339">
        <f>G81+G84</f>
        <v>0.5</v>
      </c>
      <c r="H80" s="339">
        <f>H81+H84</f>
        <v>0</v>
      </c>
      <c r="I80" s="339">
        <f t="shared" si="3"/>
        <v>0</v>
      </c>
      <c r="J80" s="332"/>
    </row>
    <row r="81" spans="1:10" s="218" customFormat="1" ht="31.5" x14ac:dyDescent="0.25">
      <c r="A81" s="33" t="s">
        <v>1296</v>
      </c>
      <c r="B81" s="336">
        <v>902</v>
      </c>
      <c r="C81" s="338" t="s">
        <v>134</v>
      </c>
      <c r="D81" s="338" t="s">
        <v>166</v>
      </c>
      <c r="E81" s="346" t="s">
        <v>890</v>
      </c>
      <c r="F81" s="338"/>
      <c r="G81" s="343">
        <f>G82</f>
        <v>0.5</v>
      </c>
      <c r="H81" s="343">
        <f>H82</f>
        <v>0</v>
      </c>
      <c r="I81" s="343">
        <f t="shared" si="3"/>
        <v>0</v>
      </c>
      <c r="J81" s="332"/>
    </row>
    <row r="82" spans="1:10" s="218" customFormat="1" ht="31.5" x14ac:dyDescent="0.25">
      <c r="A82" s="342" t="s">
        <v>147</v>
      </c>
      <c r="B82" s="336">
        <v>902</v>
      </c>
      <c r="C82" s="338" t="s">
        <v>134</v>
      </c>
      <c r="D82" s="338" t="s">
        <v>166</v>
      </c>
      <c r="E82" s="346" t="s">
        <v>890</v>
      </c>
      <c r="F82" s="338" t="s">
        <v>148</v>
      </c>
      <c r="G82" s="343">
        <f>G83</f>
        <v>0.5</v>
      </c>
      <c r="H82" s="343">
        <f>H83</f>
        <v>0</v>
      </c>
      <c r="I82" s="343">
        <f t="shared" si="3"/>
        <v>0</v>
      </c>
      <c r="J82" s="332"/>
    </row>
    <row r="83" spans="1:10" s="218" customFormat="1" ht="31.5" x14ac:dyDescent="0.25">
      <c r="A83" s="342" t="s">
        <v>149</v>
      </c>
      <c r="B83" s="336">
        <v>902</v>
      </c>
      <c r="C83" s="338" t="s">
        <v>134</v>
      </c>
      <c r="D83" s="338" t="s">
        <v>166</v>
      </c>
      <c r="E83" s="346" t="s">
        <v>890</v>
      </c>
      <c r="F83" s="338" t="s">
        <v>150</v>
      </c>
      <c r="G83" s="343">
        <v>0.5</v>
      </c>
      <c r="H83" s="343">
        <v>0</v>
      </c>
      <c r="I83" s="343">
        <f t="shared" si="3"/>
        <v>0</v>
      </c>
      <c r="J83" s="332"/>
    </row>
    <row r="84" spans="1:10" s="218" customFormat="1" ht="31.5" hidden="1" x14ac:dyDescent="0.25">
      <c r="A84" s="33" t="s">
        <v>207</v>
      </c>
      <c r="B84" s="336">
        <v>902</v>
      </c>
      <c r="C84" s="338" t="s">
        <v>134</v>
      </c>
      <c r="D84" s="338" t="s">
        <v>166</v>
      </c>
      <c r="E84" s="338" t="s">
        <v>891</v>
      </c>
      <c r="F84" s="338"/>
      <c r="G84" s="343">
        <f>G85</f>
        <v>0</v>
      </c>
      <c r="H84" s="343">
        <f>H85</f>
        <v>0</v>
      </c>
      <c r="I84" s="343" t="e">
        <f t="shared" si="3"/>
        <v>#DIV/0!</v>
      </c>
      <c r="J84" s="332"/>
    </row>
    <row r="85" spans="1:10" s="218" customFormat="1" ht="31.5" hidden="1" x14ac:dyDescent="0.25">
      <c r="A85" s="342" t="s">
        <v>147</v>
      </c>
      <c r="B85" s="336">
        <v>902</v>
      </c>
      <c r="C85" s="338" t="s">
        <v>134</v>
      </c>
      <c r="D85" s="338" t="s">
        <v>166</v>
      </c>
      <c r="E85" s="338" t="s">
        <v>891</v>
      </c>
      <c r="F85" s="338" t="s">
        <v>148</v>
      </c>
      <c r="G85" s="343">
        <f>G86</f>
        <v>0</v>
      </c>
      <c r="H85" s="343">
        <f>H86</f>
        <v>0</v>
      </c>
      <c r="I85" s="343" t="e">
        <f t="shared" si="3"/>
        <v>#DIV/0!</v>
      </c>
      <c r="J85" s="332"/>
    </row>
    <row r="86" spans="1:10" s="218" customFormat="1" ht="31.5" hidden="1" x14ac:dyDescent="0.25">
      <c r="A86" s="342" t="s">
        <v>149</v>
      </c>
      <c r="B86" s="336">
        <v>902</v>
      </c>
      <c r="C86" s="338" t="s">
        <v>134</v>
      </c>
      <c r="D86" s="338" t="s">
        <v>166</v>
      </c>
      <c r="E86" s="338" t="s">
        <v>891</v>
      </c>
      <c r="F86" s="338" t="s">
        <v>150</v>
      </c>
      <c r="G86" s="343">
        <v>0</v>
      </c>
      <c r="H86" s="343">
        <v>0</v>
      </c>
      <c r="I86" s="343" t="e">
        <f t="shared" si="3"/>
        <v>#DIV/0!</v>
      </c>
      <c r="J86" s="332"/>
    </row>
    <row r="87" spans="1:10" ht="47.25" x14ac:dyDescent="0.25">
      <c r="A87" s="340" t="s">
        <v>135</v>
      </c>
      <c r="B87" s="337">
        <v>902</v>
      </c>
      <c r="C87" s="341" t="s">
        <v>134</v>
      </c>
      <c r="D87" s="341" t="s">
        <v>136</v>
      </c>
      <c r="E87" s="341"/>
      <c r="F87" s="338"/>
      <c r="G87" s="339">
        <f>G88</f>
        <v>995</v>
      </c>
      <c r="H87" s="339">
        <f>H88</f>
        <v>642.9</v>
      </c>
      <c r="I87" s="339">
        <f t="shared" si="3"/>
        <v>64.613065326633162</v>
      </c>
    </row>
    <row r="88" spans="1:10" ht="39.200000000000003" customHeight="1" x14ac:dyDescent="0.25">
      <c r="A88" s="340" t="s">
        <v>990</v>
      </c>
      <c r="B88" s="337">
        <v>902</v>
      </c>
      <c r="C88" s="341" t="s">
        <v>134</v>
      </c>
      <c r="D88" s="341" t="s">
        <v>136</v>
      </c>
      <c r="E88" s="341" t="s">
        <v>904</v>
      </c>
      <c r="F88" s="341"/>
      <c r="G88" s="339">
        <f>G89</f>
        <v>995</v>
      </c>
      <c r="H88" s="339">
        <f>H89</f>
        <v>642.9</v>
      </c>
      <c r="I88" s="339">
        <f t="shared" si="3"/>
        <v>64.613065326633162</v>
      </c>
    </row>
    <row r="89" spans="1:10" ht="15.75" x14ac:dyDescent="0.25">
      <c r="A89" s="340" t="s">
        <v>991</v>
      </c>
      <c r="B89" s="337">
        <v>902</v>
      </c>
      <c r="C89" s="341" t="s">
        <v>134</v>
      </c>
      <c r="D89" s="341" t="s">
        <v>136</v>
      </c>
      <c r="E89" s="341" t="s">
        <v>905</v>
      </c>
      <c r="F89" s="341"/>
      <c r="G89" s="339">
        <f>G90+G93</f>
        <v>995</v>
      </c>
      <c r="H89" s="339">
        <f>H90+H93</f>
        <v>642.9</v>
      </c>
      <c r="I89" s="339">
        <f t="shared" si="3"/>
        <v>64.613065326633162</v>
      </c>
    </row>
    <row r="90" spans="1:10" ht="31.5" x14ac:dyDescent="0.25">
      <c r="A90" s="342" t="s">
        <v>967</v>
      </c>
      <c r="B90" s="336">
        <v>902</v>
      </c>
      <c r="C90" s="338" t="s">
        <v>134</v>
      </c>
      <c r="D90" s="338" t="s">
        <v>136</v>
      </c>
      <c r="E90" s="338" t="s">
        <v>906</v>
      </c>
      <c r="F90" s="338"/>
      <c r="G90" s="343">
        <f>G91</f>
        <v>954</v>
      </c>
      <c r="H90" s="343">
        <f>H91</f>
        <v>642.9</v>
      </c>
      <c r="I90" s="343">
        <f t="shared" si="3"/>
        <v>67.389937106918239</v>
      </c>
    </row>
    <row r="91" spans="1:10" ht="63" x14ac:dyDescent="0.25">
      <c r="A91" s="342" t="s">
        <v>143</v>
      </c>
      <c r="B91" s="336">
        <v>902</v>
      </c>
      <c r="C91" s="338" t="s">
        <v>134</v>
      </c>
      <c r="D91" s="338" t="s">
        <v>136</v>
      </c>
      <c r="E91" s="338" t="s">
        <v>906</v>
      </c>
      <c r="F91" s="338" t="s">
        <v>144</v>
      </c>
      <c r="G91" s="343">
        <f>G92</f>
        <v>954</v>
      </c>
      <c r="H91" s="343">
        <f>H92</f>
        <v>642.9</v>
      </c>
      <c r="I91" s="343">
        <f t="shared" si="3"/>
        <v>67.389937106918239</v>
      </c>
    </row>
    <row r="92" spans="1:10" ht="31.5" x14ac:dyDescent="0.25">
      <c r="A92" s="342" t="s">
        <v>145</v>
      </c>
      <c r="B92" s="336">
        <v>902</v>
      </c>
      <c r="C92" s="338" t="s">
        <v>134</v>
      </c>
      <c r="D92" s="338" t="s">
        <v>136</v>
      </c>
      <c r="E92" s="338" t="s">
        <v>906</v>
      </c>
      <c r="F92" s="338" t="s">
        <v>146</v>
      </c>
      <c r="G92" s="344">
        <f>899+55</f>
        <v>954</v>
      </c>
      <c r="H92" s="344">
        <v>642.9</v>
      </c>
      <c r="I92" s="343">
        <f t="shared" si="3"/>
        <v>67.389937106918239</v>
      </c>
    </row>
    <row r="93" spans="1:10" ht="31.7" customHeight="1" x14ac:dyDescent="0.25">
      <c r="A93" s="342" t="s">
        <v>885</v>
      </c>
      <c r="B93" s="336">
        <v>902</v>
      </c>
      <c r="C93" s="338" t="s">
        <v>134</v>
      </c>
      <c r="D93" s="338" t="s">
        <v>136</v>
      </c>
      <c r="E93" s="338" t="s">
        <v>908</v>
      </c>
      <c r="F93" s="338"/>
      <c r="G93" s="343">
        <f>G94</f>
        <v>41</v>
      </c>
      <c r="H93" s="343">
        <f>H94</f>
        <v>0</v>
      </c>
      <c r="I93" s="343">
        <f t="shared" si="3"/>
        <v>0</v>
      </c>
    </row>
    <row r="94" spans="1:10" s="218" customFormat="1" ht="31.7" customHeight="1" x14ac:dyDescent="0.25">
      <c r="A94" s="342" t="s">
        <v>143</v>
      </c>
      <c r="B94" s="336">
        <v>902</v>
      </c>
      <c r="C94" s="338" t="s">
        <v>134</v>
      </c>
      <c r="D94" s="338" t="s">
        <v>136</v>
      </c>
      <c r="E94" s="338" t="s">
        <v>908</v>
      </c>
      <c r="F94" s="338" t="s">
        <v>144</v>
      </c>
      <c r="G94" s="343">
        <f>G95</f>
        <v>41</v>
      </c>
      <c r="H94" s="343">
        <f>H95</f>
        <v>0</v>
      </c>
      <c r="I94" s="343">
        <f t="shared" si="3"/>
        <v>0</v>
      </c>
      <c r="J94" s="332"/>
    </row>
    <row r="95" spans="1:10" ht="34.5" customHeight="1" x14ac:dyDescent="0.25">
      <c r="A95" s="342" t="s">
        <v>145</v>
      </c>
      <c r="B95" s="336">
        <v>902</v>
      </c>
      <c r="C95" s="338" t="s">
        <v>134</v>
      </c>
      <c r="D95" s="338" t="s">
        <v>136</v>
      </c>
      <c r="E95" s="338" t="s">
        <v>908</v>
      </c>
      <c r="F95" s="338" t="s">
        <v>146</v>
      </c>
      <c r="G95" s="343">
        <v>41</v>
      </c>
      <c r="H95" s="343">
        <v>0</v>
      </c>
      <c r="I95" s="343">
        <f t="shared" si="3"/>
        <v>0</v>
      </c>
    </row>
    <row r="96" spans="1:10" s="218" customFormat="1" ht="17.45" customHeight="1" x14ac:dyDescent="0.25">
      <c r="A96" s="340" t="s">
        <v>1369</v>
      </c>
      <c r="B96" s="337">
        <v>902</v>
      </c>
      <c r="C96" s="341" t="s">
        <v>134</v>
      </c>
      <c r="D96" s="341" t="s">
        <v>280</v>
      </c>
      <c r="E96" s="341"/>
      <c r="F96" s="338"/>
      <c r="G96" s="339">
        <f t="shared" ref="G96:H98" si="4">G97</f>
        <v>158.38</v>
      </c>
      <c r="H96" s="339">
        <f t="shared" si="4"/>
        <v>0</v>
      </c>
      <c r="I96" s="339">
        <f t="shared" si="3"/>
        <v>0</v>
      </c>
      <c r="J96" s="332"/>
    </row>
    <row r="97" spans="1:10" s="218" customFormat="1" ht="21.75" customHeight="1" x14ac:dyDescent="0.25">
      <c r="A97" s="340" t="s">
        <v>157</v>
      </c>
      <c r="B97" s="337">
        <v>902</v>
      </c>
      <c r="C97" s="341" t="s">
        <v>134</v>
      </c>
      <c r="D97" s="341" t="s">
        <v>280</v>
      </c>
      <c r="E97" s="341" t="s">
        <v>912</v>
      </c>
      <c r="F97" s="338"/>
      <c r="G97" s="339">
        <f t="shared" si="4"/>
        <v>158.38</v>
      </c>
      <c r="H97" s="339">
        <f t="shared" si="4"/>
        <v>0</v>
      </c>
      <c r="I97" s="339">
        <f t="shared" si="3"/>
        <v>0</v>
      </c>
      <c r="J97" s="332"/>
    </row>
    <row r="98" spans="1:10" s="218" customFormat="1" ht="34.5" customHeight="1" x14ac:dyDescent="0.25">
      <c r="A98" s="340" t="s">
        <v>916</v>
      </c>
      <c r="B98" s="337">
        <v>902</v>
      </c>
      <c r="C98" s="341" t="s">
        <v>134</v>
      </c>
      <c r="D98" s="341" t="s">
        <v>280</v>
      </c>
      <c r="E98" s="341" t="s">
        <v>911</v>
      </c>
      <c r="F98" s="338"/>
      <c r="G98" s="339">
        <f t="shared" si="4"/>
        <v>158.38</v>
      </c>
      <c r="H98" s="339">
        <f t="shared" si="4"/>
        <v>0</v>
      </c>
      <c r="I98" s="339">
        <f t="shared" si="3"/>
        <v>0</v>
      </c>
      <c r="J98" s="332"/>
    </row>
    <row r="99" spans="1:10" s="218" customFormat="1" ht="18" customHeight="1" x14ac:dyDescent="0.25">
      <c r="A99" s="45" t="s">
        <v>215</v>
      </c>
      <c r="B99" s="336">
        <v>902</v>
      </c>
      <c r="C99" s="338" t="s">
        <v>134</v>
      </c>
      <c r="D99" s="338" t="s">
        <v>280</v>
      </c>
      <c r="E99" s="338" t="s">
        <v>1368</v>
      </c>
      <c r="F99" s="338"/>
      <c r="G99" s="343">
        <f>G100+G102</f>
        <v>158.38</v>
      </c>
      <c r="H99" s="343">
        <f>H100+H102</f>
        <v>0</v>
      </c>
      <c r="I99" s="343">
        <f t="shared" si="3"/>
        <v>0</v>
      </c>
      <c r="J99" s="332"/>
    </row>
    <row r="100" spans="1:10" s="218" customFormat="1" ht="69.75" customHeight="1" x14ac:dyDescent="0.25">
      <c r="A100" s="342" t="s">
        <v>143</v>
      </c>
      <c r="B100" s="336">
        <v>902</v>
      </c>
      <c r="C100" s="338" t="s">
        <v>134</v>
      </c>
      <c r="D100" s="338" t="s">
        <v>280</v>
      </c>
      <c r="E100" s="338" t="s">
        <v>1368</v>
      </c>
      <c r="F100" s="338" t="s">
        <v>144</v>
      </c>
      <c r="G100" s="343">
        <f>G101</f>
        <v>158.38</v>
      </c>
      <c r="H100" s="343">
        <f>H101</f>
        <v>0</v>
      </c>
      <c r="I100" s="343">
        <f t="shared" si="3"/>
        <v>0</v>
      </c>
      <c r="J100" s="332"/>
    </row>
    <row r="101" spans="1:10" s="218" customFormat="1" ht="34.5" customHeight="1" x14ac:dyDescent="0.25">
      <c r="A101" s="342" t="s">
        <v>145</v>
      </c>
      <c r="B101" s="336">
        <v>902</v>
      </c>
      <c r="C101" s="338" t="s">
        <v>134</v>
      </c>
      <c r="D101" s="338" t="s">
        <v>280</v>
      </c>
      <c r="E101" s="338" t="s">
        <v>1368</v>
      </c>
      <c r="F101" s="338" t="s">
        <v>146</v>
      </c>
      <c r="G101" s="343">
        <v>158.38</v>
      </c>
      <c r="H101" s="343">
        <v>0</v>
      </c>
      <c r="I101" s="343">
        <f t="shared" si="3"/>
        <v>0</v>
      </c>
      <c r="J101" s="332"/>
    </row>
    <row r="102" spans="1:10" s="218" customFormat="1" ht="34.5" hidden="1" customHeight="1" x14ac:dyDescent="0.25">
      <c r="A102" s="342" t="s">
        <v>214</v>
      </c>
      <c r="B102" s="336">
        <v>902</v>
      </c>
      <c r="C102" s="338" t="s">
        <v>134</v>
      </c>
      <c r="D102" s="338" t="s">
        <v>280</v>
      </c>
      <c r="E102" s="338" t="s">
        <v>1368</v>
      </c>
      <c r="F102" s="338" t="s">
        <v>148</v>
      </c>
      <c r="G102" s="343">
        <f>G103</f>
        <v>0</v>
      </c>
      <c r="H102" s="343">
        <f>H103</f>
        <v>0</v>
      </c>
      <c r="I102" s="343" t="e">
        <f t="shared" si="3"/>
        <v>#DIV/0!</v>
      </c>
      <c r="J102" s="332"/>
    </row>
    <row r="103" spans="1:10" s="218" customFormat="1" ht="34.5" hidden="1" customHeight="1" x14ac:dyDescent="0.25">
      <c r="A103" s="342" t="s">
        <v>149</v>
      </c>
      <c r="B103" s="336">
        <v>902</v>
      </c>
      <c r="C103" s="338" t="s">
        <v>134</v>
      </c>
      <c r="D103" s="338" t="s">
        <v>280</v>
      </c>
      <c r="E103" s="338" t="s">
        <v>1368</v>
      </c>
      <c r="F103" s="338" t="s">
        <v>150</v>
      </c>
      <c r="G103" s="343">
        <v>0</v>
      </c>
      <c r="H103" s="343">
        <v>0</v>
      </c>
      <c r="I103" s="343" t="e">
        <f t="shared" si="3"/>
        <v>#DIV/0!</v>
      </c>
      <c r="J103" s="332"/>
    </row>
    <row r="104" spans="1:10" ht="15.75" x14ac:dyDescent="0.25">
      <c r="A104" s="340" t="s">
        <v>155</v>
      </c>
      <c r="B104" s="337">
        <v>902</v>
      </c>
      <c r="C104" s="341" t="s">
        <v>134</v>
      </c>
      <c r="D104" s="341" t="s">
        <v>156</v>
      </c>
      <c r="E104" s="341"/>
      <c r="F104" s="341"/>
      <c r="G104" s="339">
        <f>G115+G124+G105+G129</f>
        <v>6307.4000000000005</v>
      </c>
      <c r="H104" s="339">
        <f>H115+H124+H105+H129</f>
        <v>2915.3</v>
      </c>
      <c r="I104" s="339">
        <f t="shared" si="3"/>
        <v>46.220312648634938</v>
      </c>
    </row>
    <row r="105" spans="1:10" s="218" customFormat="1" ht="19.5" customHeight="1" x14ac:dyDescent="0.25">
      <c r="A105" s="340" t="s">
        <v>157</v>
      </c>
      <c r="B105" s="337">
        <v>902</v>
      </c>
      <c r="C105" s="341" t="s">
        <v>134</v>
      </c>
      <c r="D105" s="341" t="s">
        <v>156</v>
      </c>
      <c r="E105" s="341" t="s">
        <v>912</v>
      </c>
      <c r="F105" s="341"/>
      <c r="G105" s="339">
        <f>G106</f>
        <v>6154.4000000000005</v>
      </c>
      <c r="H105" s="339">
        <f>H106</f>
        <v>2900.3</v>
      </c>
      <c r="I105" s="339">
        <f t="shared" si="3"/>
        <v>47.125633692967632</v>
      </c>
      <c r="J105" s="332"/>
    </row>
    <row r="106" spans="1:10" s="218" customFormat="1" ht="34.5" customHeight="1" x14ac:dyDescent="0.25">
      <c r="A106" s="340" t="s">
        <v>995</v>
      </c>
      <c r="B106" s="337">
        <v>902</v>
      </c>
      <c r="C106" s="341" t="s">
        <v>134</v>
      </c>
      <c r="D106" s="341" t="s">
        <v>156</v>
      </c>
      <c r="E106" s="341" t="s">
        <v>913</v>
      </c>
      <c r="F106" s="341"/>
      <c r="G106" s="339">
        <f>G107+G112</f>
        <v>6154.4000000000005</v>
      </c>
      <c r="H106" s="339">
        <f>H107+H112</f>
        <v>2900.3</v>
      </c>
      <c r="I106" s="339">
        <f t="shared" si="3"/>
        <v>47.125633692967632</v>
      </c>
      <c r="J106" s="332"/>
    </row>
    <row r="107" spans="1:10" s="218" customFormat="1" ht="21.75" customHeight="1" x14ac:dyDescent="0.25">
      <c r="A107" s="342" t="s">
        <v>1001</v>
      </c>
      <c r="B107" s="336">
        <v>902</v>
      </c>
      <c r="C107" s="338" t="s">
        <v>134</v>
      </c>
      <c r="D107" s="338" t="s">
        <v>156</v>
      </c>
      <c r="E107" s="338" t="s">
        <v>914</v>
      </c>
      <c r="F107" s="338"/>
      <c r="G107" s="343">
        <f>G108+G110</f>
        <v>6028.4000000000005</v>
      </c>
      <c r="H107" s="343">
        <f>H108+H110</f>
        <v>2900.3</v>
      </c>
      <c r="I107" s="343">
        <f t="shared" si="3"/>
        <v>48.110609780372897</v>
      </c>
      <c r="J107" s="332"/>
    </row>
    <row r="108" spans="1:10" s="218" customFormat="1" ht="66.75" customHeight="1" x14ac:dyDescent="0.25">
      <c r="A108" s="342" t="s">
        <v>143</v>
      </c>
      <c r="B108" s="336">
        <v>902</v>
      </c>
      <c r="C108" s="338" t="s">
        <v>134</v>
      </c>
      <c r="D108" s="338" t="s">
        <v>156</v>
      </c>
      <c r="E108" s="338" t="s">
        <v>914</v>
      </c>
      <c r="F108" s="338" t="s">
        <v>144</v>
      </c>
      <c r="G108" s="343">
        <f>G109</f>
        <v>4817.4000000000005</v>
      </c>
      <c r="H108" s="343">
        <f>H109</f>
        <v>2198.9</v>
      </c>
      <c r="I108" s="343">
        <f t="shared" si="3"/>
        <v>45.644953709469839</v>
      </c>
      <c r="J108" s="332"/>
    </row>
    <row r="109" spans="1:10" s="218" customFormat="1" ht="20.25" customHeight="1" x14ac:dyDescent="0.25">
      <c r="A109" s="342" t="s">
        <v>224</v>
      </c>
      <c r="B109" s="336">
        <v>902</v>
      </c>
      <c r="C109" s="338" t="s">
        <v>134</v>
      </c>
      <c r="D109" s="338" t="s">
        <v>156</v>
      </c>
      <c r="E109" s="338" t="s">
        <v>914</v>
      </c>
      <c r="F109" s="338" t="s">
        <v>225</v>
      </c>
      <c r="G109" s="344">
        <f>5343+77.1-602.7</f>
        <v>4817.4000000000005</v>
      </c>
      <c r="H109" s="344">
        <v>2198.9</v>
      </c>
      <c r="I109" s="343">
        <f t="shared" si="3"/>
        <v>45.644953709469839</v>
      </c>
      <c r="J109" s="332"/>
    </row>
    <row r="110" spans="1:10" s="218" customFormat="1" ht="39.200000000000003" customHeight="1" x14ac:dyDescent="0.25">
      <c r="A110" s="342" t="s">
        <v>214</v>
      </c>
      <c r="B110" s="336">
        <v>902</v>
      </c>
      <c r="C110" s="338" t="s">
        <v>134</v>
      </c>
      <c r="D110" s="338" t="s">
        <v>156</v>
      </c>
      <c r="E110" s="338" t="s">
        <v>914</v>
      </c>
      <c r="F110" s="338" t="s">
        <v>148</v>
      </c>
      <c r="G110" s="343">
        <f>G111</f>
        <v>1211</v>
      </c>
      <c r="H110" s="343">
        <f>H111</f>
        <v>701.4</v>
      </c>
      <c r="I110" s="343">
        <f t="shared" si="3"/>
        <v>57.919075144508668</v>
      </c>
      <c r="J110" s="332"/>
    </row>
    <row r="111" spans="1:10" s="218" customFormat="1" ht="39.200000000000003" customHeight="1" x14ac:dyDescent="0.25">
      <c r="A111" s="342" t="s">
        <v>149</v>
      </c>
      <c r="B111" s="336">
        <v>902</v>
      </c>
      <c r="C111" s="338" t="s">
        <v>134</v>
      </c>
      <c r="D111" s="338" t="s">
        <v>156</v>
      </c>
      <c r="E111" s="338" t="s">
        <v>914</v>
      </c>
      <c r="F111" s="338" t="s">
        <v>150</v>
      </c>
      <c r="G111" s="344">
        <f>1174.7+113.8-77.5</f>
        <v>1211</v>
      </c>
      <c r="H111" s="344">
        <v>701.4</v>
      </c>
      <c r="I111" s="343">
        <f t="shared" si="3"/>
        <v>57.919075144508668</v>
      </c>
      <c r="J111" s="332"/>
    </row>
    <row r="112" spans="1:10" s="218" customFormat="1" ht="28.5" customHeight="1" x14ac:dyDescent="0.25">
      <c r="A112" s="342" t="s">
        <v>885</v>
      </c>
      <c r="B112" s="336">
        <v>902</v>
      </c>
      <c r="C112" s="338" t="s">
        <v>134</v>
      </c>
      <c r="D112" s="338" t="s">
        <v>156</v>
      </c>
      <c r="E112" s="338" t="s">
        <v>915</v>
      </c>
      <c r="F112" s="338"/>
      <c r="G112" s="343">
        <f>G113</f>
        <v>126</v>
      </c>
      <c r="H112" s="343">
        <f>H113</f>
        <v>0</v>
      </c>
      <c r="I112" s="343">
        <f t="shared" si="3"/>
        <v>0</v>
      </c>
      <c r="J112" s="332"/>
    </row>
    <row r="113" spans="1:10" s="218" customFormat="1" ht="63" customHeight="1" x14ac:dyDescent="0.25">
      <c r="A113" s="342" t="s">
        <v>143</v>
      </c>
      <c r="B113" s="336">
        <v>902</v>
      </c>
      <c r="C113" s="338" t="s">
        <v>134</v>
      </c>
      <c r="D113" s="338" t="s">
        <v>156</v>
      </c>
      <c r="E113" s="338" t="s">
        <v>915</v>
      </c>
      <c r="F113" s="338" t="s">
        <v>144</v>
      </c>
      <c r="G113" s="343">
        <f>G114</f>
        <v>126</v>
      </c>
      <c r="H113" s="343">
        <f>H114</f>
        <v>0</v>
      </c>
      <c r="I113" s="343">
        <f t="shared" si="3"/>
        <v>0</v>
      </c>
      <c r="J113" s="332"/>
    </row>
    <row r="114" spans="1:10" s="218" customFormat="1" ht="23.25" customHeight="1" x14ac:dyDescent="0.25">
      <c r="A114" s="342" t="s">
        <v>224</v>
      </c>
      <c r="B114" s="336">
        <v>902</v>
      </c>
      <c r="C114" s="338" t="s">
        <v>134</v>
      </c>
      <c r="D114" s="338" t="s">
        <v>156</v>
      </c>
      <c r="E114" s="338" t="s">
        <v>915</v>
      </c>
      <c r="F114" s="338" t="s">
        <v>225</v>
      </c>
      <c r="G114" s="343">
        <v>126</v>
      </c>
      <c r="H114" s="343">
        <v>0</v>
      </c>
      <c r="I114" s="343">
        <f t="shared" si="3"/>
        <v>0</v>
      </c>
      <c r="J114" s="332"/>
    </row>
    <row r="115" spans="1:10" ht="47.25" x14ac:dyDescent="0.25">
      <c r="A115" s="41" t="s">
        <v>1185</v>
      </c>
      <c r="B115" s="337">
        <v>902</v>
      </c>
      <c r="C115" s="341" t="s">
        <v>134</v>
      </c>
      <c r="D115" s="341" t="s">
        <v>156</v>
      </c>
      <c r="E115" s="341" t="s">
        <v>728</v>
      </c>
      <c r="F115" s="235"/>
      <c r="G115" s="339">
        <f>G116+G120</f>
        <v>43</v>
      </c>
      <c r="H115" s="339">
        <f>H116+H120</f>
        <v>15</v>
      </c>
      <c r="I115" s="339">
        <f t="shared" si="3"/>
        <v>34.883720930232556</v>
      </c>
    </row>
    <row r="116" spans="1:10" s="218" customFormat="1" ht="47.25" customHeight="1" x14ac:dyDescent="0.25">
      <c r="A116" s="223" t="s">
        <v>892</v>
      </c>
      <c r="B116" s="337">
        <v>902</v>
      </c>
      <c r="C116" s="341" t="s">
        <v>134</v>
      </c>
      <c r="D116" s="341" t="s">
        <v>156</v>
      </c>
      <c r="E116" s="341" t="s">
        <v>898</v>
      </c>
      <c r="F116" s="235"/>
      <c r="G116" s="339">
        <f t="shared" ref="G116:H118" si="5">G117</f>
        <v>28</v>
      </c>
      <c r="H116" s="339">
        <f t="shared" si="5"/>
        <v>0</v>
      </c>
      <c r="I116" s="339">
        <f t="shared" si="3"/>
        <v>0</v>
      </c>
      <c r="J116" s="332"/>
    </row>
    <row r="117" spans="1:10" ht="36.75" customHeight="1" x14ac:dyDescent="0.25">
      <c r="A117" s="99" t="s">
        <v>799</v>
      </c>
      <c r="B117" s="336">
        <v>902</v>
      </c>
      <c r="C117" s="338" t="s">
        <v>134</v>
      </c>
      <c r="D117" s="338" t="s">
        <v>156</v>
      </c>
      <c r="E117" s="338" t="s">
        <v>893</v>
      </c>
      <c r="F117" s="32"/>
      <c r="G117" s="343">
        <f t="shared" si="5"/>
        <v>28</v>
      </c>
      <c r="H117" s="343">
        <f t="shared" si="5"/>
        <v>0</v>
      </c>
      <c r="I117" s="343">
        <f t="shared" si="3"/>
        <v>0</v>
      </c>
    </row>
    <row r="118" spans="1:10" ht="31.5" x14ac:dyDescent="0.25">
      <c r="A118" s="342" t="s">
        <v>147</v>
      </c>
      <c r="B118" s="336">
        <v>902</v>
      </c>
      <c r="C118" s="338" t="s">
        <v>134</v>
      </c>
      <c r="D118" s="338" t="s">
        <v>156</v>
      </c>
      <c r="E118" s="338" t="s">
        <v>893</v>
      </c>
      <c r="F118" s="32" t="s">
        <v>148</v>
      </c>
      <c r="G118" s="343">
        <f t="shared" si="5"/>
        <v>28</v>
      </c>
      <c r="H118" s="343">
        <f t="shared" si="5"/>
        <v>0</v>
      </c>
      <c r="I118" s="343">
        <f t="shared" si="3"/>
        <v>0</v>
      </c>
    </row>
    <row r="119" spans="1:10" ht="31.5" x14ac:dyDescent="0.25">
      <c r="A119" s="342" t="s">
        <v>149</v>
      </c>
      <c r="B119" s="336">
        <v>902</v>
      </c>
      <c r="C119" s="338" t="s">
        <v>134</v>
      </c>
      <c r="D119" s="338" t="s">
        <v>156</v>
      </c>
      <c r="E119" s="338" t="s">
        <v>893</v>
      </c>
      <c r="F119" s="32" t="s">
        <v>150</v>
      </c>
      <c r="G119" s="343">
        <v>28</v>
      </c>
      <c r="H119" s="343">
        <v>0</v>
      </c>
      <c r="I119" s="343">
        <f t="shared" si="3"/>
        <v>0</v>
      </c>
    </row>
    <row r="120" spans="1:10" s="218" customFormat="1" ht="34.5" customHeight="1" x14ac:dyDescent="0.25">
      <c r="A120" s="224" t="s">
        <v>1188</v>
      </c>
      <c r="B120" s="337">
        <v>902</v>
      </c>
      <c r="C120" s="341" t="s">
        <v>134</v>
      </c>
      <c r="D120" s="341" t="s">
        <v>156</v>
      </c>
      <c r="E120" s="341" t="s">
        <v>899</v>
      </c>
      <c r="F120" s="235"/>
      <c r="G120" s="339">
        <f t="shared" ref="G120:H122" si="6">G121</f>
        <v>15</v>
      </c>
      <c r="H120" s="339">
        <f t="shared" si="6"/>
        <v>15</v>
      </c>
      <c r="I120" s="339">
        <f t="shared" si="3"/>
        <v>100</v>
      </c>
      <c r="J120" s="332"/>
    </row>
    <row r="121" spans="1:10" ht="39.200000000000003" customHeight="1" x14ac:dyDescent="0.25">
      <c r="A121" s="99" t="s">
        <v>800</v>
      </c>
      <c r="B121" s="336">
        <v>902</v>
      </c>
      <c r="C121" s="338" t="s">
        <v>134</v>
      </c>
      <c r="D121" s="338" t="s">
        <v>156</v>
      </c>
      <c r="E121" s="338" t="s">
        <v>894</v>
      </c>
      <c r="F121" s="32"/>
      <c r="G121" s="343">
        <f t="shared" si="6"/>
        <v>15</v>
      </c>
      <c r="H121" s="343">
        <f t="shared" si="6"/>
        <v>15</v>
      </c>
      <c r="I121" s="343">
        <f t="shared" si="3"/>
        <v>100</v>
      </c>
    </row>
    <row r="122" spans="1:10" ht="31.7" customHeight="1" x14ac:dyDescent="0.25">
      <c r="A122" s="342" t="s">
        <v>147</v>
      </c>
      <c r="B122" s="336">
        <v>902</v>
      </c>
      <c r="C122" s="338" t="s">
        <v>134</v>
      </c>
      <c r="D122" s="338" t="s">
        <v>156</v>
      </c>
      <c r="E122" s="338" t="s">
        <v>894</v>
      </c>
      <c r="F122" s="32" t="s">
        <v>148</v>
      </c>
      <c r="G122" s="343">
        <f t="shared" si="6"/>
        <v>15</v>
      </c>
      <c r="H122" s="343">
        <f t="shared" si="6"/>
        <v>15</v>
      </c>
      <c r="I122" s="343">
        <f t="shared" si="3"/>
        <v>100</v>
      </c>
    </row>
    <row r="123" spans="1:10" ht="32.25" customHeight="1" x14ac:dyDescent="0.25">
      <c r="A123" s="342" t="s">
        <v>149</v>
      </c>
      <c r="B123" s="336">
        <v>902</v>
      </c>
      <c r="C123" s="338" t="s">
        <v>134</v>
      </c>
      <c r="D123" s="338" t="s">
        <v>156</v>
      </c>
      <c r="E123" s="338" t="s">
        <v>894</v>
      </c>
      <c r="F123" s="32" t="s">
        <v>150</v>
      </c>
      <c r="G123" s="343">
        <v>15</v>
      </c>
      <c r="H123" s="343">
        <v>15</v>
      </c>
      <c r="I123" s="343">
        <f t="shared" si="3"/>
        <v>100</v>
      </c>
    </row>
    <row r="124" spans="1:10" ht="68.25" customHeight="1" x14ac:dyDescent="0.25">
      <c r="A124" s="41" t="s">
        <v>1184</v>
      </c>
      <c r="B124" s="337">
        <v>902</v>
      </c>
      <c r="C124" s="8" t="s">
        <v>134</v>
      </c>
      <c r="D124" s="8" t="s">
        <v>156</v>
      </c>
      <c r="E124" s="365" t="s">
        <v>861</v>
      </c>
      <c r="F124" s="8"/>
      <c r="G124" s="339">
        <f>G126</f>
        <v>30</v>
      </c>
      <c r="H124" s="339">
        <f>H126</f>
        <v>0</v>
      </c>
      <c r="I124" s="339">
        <f t="shared" si="3"/>
        <v>0</v>
      </c>
    </row>
    <row r="125" spans="1:10" s="218" customFormat="1" ht="35.450000000000003" customHeight="1" x14ac:dyDescent="0.25">
      <c r="A125" s="225" t="s">
        <v>900</v>
      </c>
      <c r="B125" s="337">
        <v>902</v>
      </c>
      <c r="C125" s="8" t="s">
        <v>134</v>
      </c>
      <c r="D125" s="8" t="s">
        <v>156</v>
      </c>
      <c r="E125" s="207" t="s">
        <v>1262</v>
      </c>
      <c r="F125" s="8"/>
      <c r="G125" s="339">
        <f t="shared" ref="G125:H127" si="7">G126</f>
        <v>30</v>
      </c>
      <c r="H125" s="339">
        <f t="shared" si="7"/>
        <v>0</v>
      </c>
      <c r="I125" s="339">
        <f t="shared" si="3"/>
        <v>0</v>
      </c>
      <c r="J125" s="332"/>
    </row>
    <row r="126" spans="1:10" ht="31.7" customHeight="1" x14ac:dyDescent="0.25">
      <c r="A126" s="98" t="s">
        <v>187</v>
      </c>
      <c r="B126" s="336">
        <v>902</v>
      </c>
      <c r="C126" s="9" t="s">
        <v>134</v>
      </c>
      <c r="D126" s="9" t="s">
        <v>156</v>
      </c>
      <c r="E126" s="333" t="s">
        <v>901</v>
      </c>
      <c r="F126" s="9"/>
      <c r="G126" s="343">
        <f t="shared" si="7"/>
        <v>30</v>
      </c>
      <c r="H126" s="343">
        <f t="shared" si="7"/>
        <v>0</v>
      </c>
      <c r="I126" s="343">
        <f t="shared" si="3"/>
        <v>0</v>
      </c>
    </row>
    <row r="127" spans="1:10" ht="35.450000000000003" customHeight="1" x14ac:dyDescent="0.25">
      <c r="A127" s="342" t="s">
        <v>147</v>
      </c>
      <c r="B127" s="336">
        <v>902</v>
      </c>
      <c r="C127" s="9" t="s">
        <v>134</v>
      </c>
      <c r="D127" s="9" t="s">
        <v>156</v>
      </c>
      <c r="E127" s="333" t="s">
        <v>901</v>
      </c>
      <c r="F127" s="9" t="s">
        <v>148</v>
      </c>
      <c r="G127" s="343">
        <f t="shared" si="7"/>
        <v>30</v>
      </c>
      <c r="H127" s="343">
        <f t="shared" si="7"/>
        <v>0</v>
      </c>
      <c r="I127" s="343">
        <f t="shared" si="3"/>
        <v>0</v>
      </c>
    </row>
    <row r="128" spans="1:10" ht="33" customHeight="1" x14ac:dyDescent="0.25">
      <c r="A128" s="342" t="s">
        <v>149</v>
      </c>
      <c r="B128" s="336">
        <v>902</v>
      </c>
      <c r="C128" s="9" t="s">
        <v>134</v>
      </c>
      <c r="D128" s="9" t="s">
        <v>156</v>
      </c>
      <c r="E128" s="333" t="s">
        <v>901</v>
      </c>
      <c r="F128" s="9" t="s">
        <v>150</v>
      </c>
      <c r="G128" s="343">
        <v>30</v>
      </c>
      <c r="H128" s="343">
        <v>0</v>
      </c>
      <c r="I128" s="343">
        <f t="shared" si="3"/>
        <v>0</v>
      </c>
    </row>
    <row r="129" spans="1:10" s="218" customFormat="1" ht="63" x14ac:dyDescent="0.25">
      <c r="A129" s="41" t="s">
        <v>1186</v>
      </c>
      <c r="B129" s="337">
        <v>902</v>
      </c>
      <c r="C129" s="8" t="s">
        <v>134</v>
      </c>
      <c r="D129" s="8" t="s">
        <v>156</v>
      </c>
      <c r="E129" s="207" t="s">
        <v>862</v>
      </c>
      <c r="F129" s="8"/>
      <c r="G129" s="339">
        <f>G131</f>
        <v>80</v>
      </c>
      <c r="H129" s="339">
        <f>H131</f>
        <v>0</v>
      </c>
      <c r="I129" s="339">
        <f t="shared" si="3"/>
        <v>0</v>
      </c>
      <c r="J129" s="332"/>
    </row>
    <row r="130" spans="1:10" s="218" customFormat="1" ht="31.5" x14ac:dyDescent="0.25">
      <c r="A130" s="58" t="s">
        <v>902</v>
      </c>
      <c r="B130" s="337">
        <v>902</v>
      </c>
      <c r="C130" s="8" t="s">
        <v>134</v>
      </c>
      <c r="D130" s="8" t="s">
        <v>156</v>
      </c>
      <c r="E130" s="207" t="s">
        <v>910</v>
      </c>
      <c r="F130" s="8"/>
      <c r="G130" s="339">
        <f t="shared" ref="G130:H132" si="8">G131</f>
        <v>80</v>
      </c>
      <c r="H130" s="339">
        <f t="shared" si="8"/>
        <v>0</v>
      </c>
      <c r="I130" s="339">
        <f t="shared" si="3"/>
        <v>0</v>
      </c>
      <c r="J130" s="332"/>
    </row>
    <row r="131" spans="1:10" s="218" customFormat="1" ht="15.75" x14ac:dyDescent="0.25">
      <c r="A131" s="45" t="s">
        <v>867</v>
      </c>
      <c r="B131" s="336">
        <v>902</v>
      </c>
      <c r="C131" s="9" t="s">
        <v>134</v>
      </c>
      <c r="D131" s="9" t="s">
        <v>156</v>
      </c>
      <c r="E131" s="333" t="s">
        <v>903</v>
      </c>
      <c r="F131" s="9"/>
      <c r="G131" s="343">
        <f t="shared" si="8"/>
        <v>80</v>
      </c>
      <c r="H131" s="343">
        <f t="shared" si="8"/>
        <v>0</v>
      </c>
      <c r="I131" s="343">
        <f t="shared" si="3"/>
        <v>0</v>
      </c>
      <c r="J131" s="332"/>
    </row>
    <row r="132" spans="1:10" s="218" customFormat="1" ht="31.5" x14ac:dyDescent="0.25">
      <c r="A132" s="342" t="s">
        <v>147</v>
      </c>
      <c r="B132" s="336">
        <v>902</v>
      </c>
      <c r="C132" s="9" t="s">
        <v>134</v>
      </c>
      <c r="D132" s="9" t="s">
        <v>156</v>
      </c>
      <c r="E132" s="333" t="s">
        <v>903</v>
      </c>
      <c r="F132" s="9" t="s">
        <v>148</v>
      </c>
      <c r="G132" s="343">
        <f t="shared" si="8"/>
        <v>80</v>
      </c>
      <c r="H132" s="343">
        <f t="shared" si="8"/>
        <v>0</v>
      </c>
      <c r="I132" s="343">
        <f t="shared" si="3"/>
        <v>0</v>
      </c>
      <c r="J132" s="332"/>
    </row>
    <row r="133" spans="1:10" s="218" customFormat="1" ht="31.5" x14ac:dyDescent="0.25">
      <c r="A133" s="342" t="s">
        <v>149</v>
      </c>
      <c r="B133" s="336">
        <v>902</v>
      </c>
      <c r="C133" s="9" t="s">
        <v>134</v>
      </c>
      <c r="D133" s="9" t="s">
        <v>156</v>
      </c>
      <c r="E133" s="333" t="s">
        <v>903</v>
      </c>
      <c r="F133" s="9" t="s">
        <v>150</v>
      </c>
      <c r="G133" s="343">
        <v>80</v>
      </c>
      <c r="H133" s="343">
        <v>0</v>
      </c>
      <c r="I133" s="343">
        <f t="shared" si="3"/>
        <v>0</v>
      </c>
      <c r="J133" s="332"/>
    </row>
    <row r="134" spans="1:10" ht="15.75" hidden="1" customHeight="1" x14ac:dyDescent="0.25">
      <c r="A134" s="340" t="s">
        <v>228</v>
      </c>
      <c r="B134" s="337">
        <v>902</v>
      </c>
      <c r="C134" s="341" t="s">
        <v>229</v>
      </c>
      <c r="D134" s="341"/>
      <c r="E134" s="341"/>
      <c r="F134" s="341"/>
      <c r="G134" s="339">
        <f t="shared" ref="G134:H139" si="9">G135</f>
        <v>0</v>
      </c>
      <c r="H134" s="339">
        <f t="shared" si="9"/>
        <v>0</v>
      </c>
      <c r="I134" s="343" t="e">
        <f t="shared" si="3"/>
        <v>#DIV/0!</v>
      </c>
    </row>
    <row r="135" spans="1:10" ht="20.25" hidden="1" customHeight="1" x14ac:dyDescent="0.25">
      <c r="A135" s="340" t="s">
        <v>234</v>
      </c>
      <c r="B135" s="337">
        <v>902</v>
      </c>
      <c r="C135" s="341" t="s">
        <v>229</v>
      </c>
      <c r="D135" s="341" t="s">
        <v>235</v>
      </c>
      <c r="E135" s="341"/>
      <c r="F135" s="341"/>
      <c r="G135" s="339">
        <f t="shared" si="9"/>
        <v>0</v>
      </c>
      <c r="H135" s="339">
        <f t="shared" si="9"/>
        <v>0</v>
      </c>
      <c r="I135" s="343" t="e">
        <f t="shared" si="3"/>
        <v>#DIV/0!</v>
      </c>
    </row>
    <row r="136" spans="1:10" ht="15.75" hidden="1" customHeight="1" x14ac:dyDescent="0.25">
      <c r="A136" s="340" t="s">
        <v>157</v>
      </c>
      <c r="B136" s="337">
        <v>902</v>
      </c>
      <c r="C136" s="341" t="s">
        <v>229</v>
      </c>
      <c r="D136" s="341" t="s">
        <v>235</v>
      </c>
      <c r="E136" s="341" t="s">
        <v>912</v>
      </c>
      <c r="F136" s="341"/>
      <c r="G136" s="339">
        <f t="shared" si="9"/>
        <v>0</v>
      </c>
      <c r="H136" s="339">
        <f t="shared" si="9"/>
        <v>0</v>
      </c>
      <c r="I136" s="343" t="e">
        <f t="shared" si="3"/>
        <v>#DIV/0!</v>
      </c>
    </row>
    <row r="137" spans="1:10" ht="33.75" hidden="1" customHeight="1" x14ac:dyDescent="0.25">
      <c r="A137" s="340" t="s">
        <v>916</v>
      </c>
      <c r="B137" s="337">
        <v>902</v>
      </c>
      <c r="C137" s="341" t="s">
        <v>229</v>
      </c>
      <c r="D137" s="341" t="s">
        <v>235</v>
      </c>
      <c r="E137" s="341" t="s">
        <v>911</v>
      </c>
      <c r="F137" s="341"/>
      <c r="G137" s="339">
        <f t="shared" si="9"/>
        <v>0</v>
      </c>
      <c r="H137" s="339">
        <f t="shared" si="9"/>
        <v>0</v>
      </c>
      <c r="I137" s="343" t="e">
        <f t="shared" si="3"/>
        <v>#DIV/0!</v>
      </c>
    </row>
    <row r="138" spans="1:10" ht="15.75" hidden="1" customHeight="1" x14ac:dyDescent="0.25">
      <c r="A138" s="342" t="s">
        <v>236</v>
      </c>
      <c r="B138" s="336">
        <v>902</v>
      </c>
      <c r="C138" s="338" t="s">
        <v>229</v>
      </c>
      <c r="D138" s="338" t="s">
        <v>235</v>
      </c>
      <c r="E138" s="338" t="s">
        <v>917</v>
      </c>
      <c r="F138" s="338"/>
      <c r="G138" s="343">
        <f t="shared" si="9"/>
        <v>0</v>
      </c>
      <c r="H138" s="343">
        <f t="shared" si="9"/>
        <v>0</v>
      </c>
      <c r="I138" s="343" t="e">
        <f t="shared" si="3"/>
        <v>#DIV/0!</v>
      </c>
    </row>
    <row r="139" spans="1:10" ht="33.75" hidden="1" customHeight="1" x14ac:dyDescent="0.25">
      <c r="A139" s="342" t="s">
        <v>214</v>
      </c>
      <c r="B139" s="336">
        <v>902</v>
      </c>
      <c r="C139" s="338" t="s">
        <v>229</v>
      </c>
      <c r="D139" s="338" t="s">
        <v>235</v>
      </c>
      <c r="E139" s="338" t="s">
        <v>917</v>
      </c>
      <c r="F139" s="338" t="s">
        <v>148</v>
      </c>
      <c r="G139" s="343">
        <f t="shared" si="9"/>
        <v>0</v>
      </c>
      <c r="H139" s="343">
        <f t="shared" si="9"/>
        <v>0</v>
      </c>
      <c r="I139" s="343" t="e">
        <f t="shared" ref="I139:I202" si="10">H139/G139*100</f>
        <v>#DIV/0!</v>
      </c>
    </row>
    <row r="140" spans="1:10" ht="40.700000000000003" hidden="1" customHeight="1" x14ac:dyDescent="0.25">
      <c r="A140" s="342" t="s">
        <v>149</v>
      </c>
      <c r="B140" s="336">
        <v>902</v>
      </c>
      <c r="C140" s="338" t="s">
        <v>229</v>
      </c>
      <c r="D140" s="338" t="s">
        <v>235</v>
      </c>
      <c r="E140" s="338" t="s">
        <v>917</v>
      </c>
      <c r="F140" s="338" t="s">
        <v>150</v>
      </c>
      <c r="G140" s="344">
        <v>0</v>
      </c>
      <c r="H140" s="344">
        <v>0</v>
      </c>
      <c r="I140" s="343" t="e">
        <f t="shared" si="10"/>
        <v>#DIV/0!</v>
      </c>
    </row>
    <row r="141" spans="1:10" ht="31.5" x14ac:dyDescent="0.25">
      <c r="A141" s="340" t="s">
        <v>238</v>
      </c>
      <c r="B141" s="337">
        <v>902</v>
      </c>
      <c r="C141" s="341" t="s">
        <v>231</v>
      </c>
      <c r="D141" s="341"/>
      <c r="E141" s="341"/>
      <c r="F141" s="341"/>
      <c r="G141" s="339">
        <f>G142</f>
        <v>7859.4</v>
      </c>
      <c r="H141" s="339">
        <f>H142</f>
        <v>3209.7000000000003</v>
      </c>
      <c r="I141" s="339">
        <f t="shared" si="10"/>
        <v>40.838995343155972</v>
      </c>
    </row>
    <row r="142" spans="1:10" ht="47.25" customHeight="1" x14ac:dyDescent="0.25">
      <c r="A142" s="340" t="s">
        <v>239</v>
      </c>
      <c r="B142" s="337">
        <v>902</v>
      </c>
      <c r="C142" s="341" t="s">
        <v>231</v>
      </c>
      <c r="D142" s="341" t="s">
        <v>235</v>
      </c>
      <c r="E142" s="338"/>
      <c r="F142" s="338"/>
      <c r="G142" s="339">
        <f>G143</f>
        <v>7859.4</v>
      </c>
      <c r="H142" s="339">
        <f>H143</f>
        <v>3209.7000000000003</v>
      </c>
      <c r="I142" s="339">
        <f t="shared" si="10"/>
        <v>40.838995343155972</v>
      </c>
    </row>
    <row r="143" spans="1:10" ht="15.75" x14ac:dyDescent="0.25">
      <c r="A143" s="340" t="s">
        <v>157</v>
      </c>
      <c r="B143" s="337">
        <v>902</v>
      </c>
      <c r="C143" s="341" t="s">
        <v>231</v>
      </c>
      <c r="D143" s="341" t="s">
        <v>235</v>
      </c>
      <c r="E143" s="341" t="s">
        <v>912</v>
      </c>
      <c r="F143" s="341"/>
      <c r="G143" s="339">
        <f>G144+G151</f>
        <v>7859.4</v>
      </c>
      <c r="H143" s="339">
        <f>H144+H151</f>
        <v>3209.7000000000003</v>
      </c>
      <c r="I143" s="339">
        <f t="shared" si="10"/>
        <v>40.838995343155972</v>
      </c>
    </row>
    <row r="144" spans="1:10" s="218" customFormat="1" ht="31.5" x14ac:dyDescent="0.25">
      <c r="A144" s="340" t="s">
        <v>916</v>
      </c>
      <c r="B144" s="337">
        <v>902</v>
      </c>
      <c r="C144" s="341" t="s">
        <v>231</v>
      </c>
      <c r="D144" s="341" t="s">
        <v>235</v>
      </c>
      <c r="E144" s="341" t="s">
        <v>911</v>
      </c>
      <c r="F144" s="341"/>
      <c r="G144" s="339">
        <f>G145+G148</f>
        <v>1982</v>
      </c>
      <c r="H144" s="339">
        <f>H145+H148</f>
        <v>70.8</v>
      </c>
      <c r="I144" s="339">
        <f t="shared" si="10"/>
        <v>3.5721493440968719</v>
      </c>
      <c r="J144" s="332"/>
    </row>
    <row r="145" spans="1:10" s="218" customFormat="1" ht="31.5" x14ac:dyDescent="0.25">
      <c r="A145" s="342" t="s">
        <v>240</v>
      </c>
      <c r="B145" s="336">
        <v>902</v>
      </c>
      <c r="C145" s="338" t="s">
        <v>231</v>
      </c>
      <c r="D145" s="338" t="s">
        <v>235</v>
      </c>
      <c r="E145" s="338" t="s">
        <v>921</v>
      </c>
      <c r="F145" s="338"/>
      <c r="G145" s="343">
        <f>G146</f>
        <v>1785</v>
      </c>
      <c r="H145" s="343">
        <f>H146</f>
        <v>70.8</v>
      </c>
      <c r="I145" s="343">
        <f t="shared" si="10"/>
        <v>3.9663865546218489</v>
      </c>
      <c r="J145" s="332"/>
    </row>
    <row r="146" spans="1:10" s="218" customFormat="1" ht="31.5" x14ac:dyDescent="0.25">
      <c r="A146" s="342" t="s">
        <v>214</v>
      </c>
      <c r="B146" s="336">
        <v>902</v>
      </c>
      <c r="C146" s="338" t="s">
        <v>231</v>
      </c>
      <c r="D146" s="338" t="s">
        <v>235</v>
      </c>
      <c r="E146" s="338" t="s">
        <v>921</v>
      </c>
      <c r="F146" s="338" t="s">
        <v>148</v>
      </c>
      <c r="G146" s="343">
        <f>G147</f>
        <v>1785</v>
      </c>
      <c r="H146" s="343">
        <f>H147</f>
        <v>70.8</v>
      </c>
      <c r="I146" s="343">
        <f t="shared" si="10"/>
        <v>3.9663865546218489</v>
      </c>
      <c r="J146" s="332"/>
    </row>
    <row r="147" spans="1:10" s="218" customFormat="1" ht="31.5" x14ac:dyDescent="0.25">
      <c r="A147" s="342" t="s">
        <v>149</v>
      </c>
      <c r="B147" s="336">
        <v>902</v>
      </c>
      <c r="C147" s="338" t="s">
        <v>231</v>
      </c>
      <c r="D147" s="338" t="s">
        <v>235</v>
      </c>
      <c r="E147" s="338" t="s">
        <v>921</v>
      </c>
      <c r="F147" s="338" t="s">
        <v>150</v>
      </c>
      <c r="G147" s="274">
        <v>1785</v>
      </c>
      <c r="H147" s="274">
        <v>70.8</v>
      </c>
      <c r="I147" s="343">
        <f t="shared" si="10"/>
        <v>3.9663865546218489</v>
      </c>
      <c r="J147" s="332"/>
    </row>
    <row r="148" spans="1:10" s="218" customFormat="1" ht="15.75" x14ac:dyDescent="0.25">
      <c r="A148" s="342" t="s">
        <v>246</v>
      </c>
      <c r="B148" s="336">
        <v>902</v>
      </c>
      <c r="C148" s="338" t="s">
        <v>231</v>
      </c>
      <c r="D148" s="338" t="s">
        <v>235</v>
      </c>
      <c r="E148" s="338" t="s">
        <v>922</v>
      </c>
      <c r="F148" s="338"/>
      <c r="G148" s="344">
        <f>G149</f>
        <v>197</v>
      </c>
      <c r="H148" s="344">
        <f>H149</f>
        <v>0</v>
      </c>
      <c r="I148" s="343">
        <f t="shared" si="10"/>
        <v>0</v>
      </c>
      <c r="J148" s="332"/>
    </row>
    <row r="149" spans="1:10" s="218" customFormat="1" ht="31.5" x14ac:dyDescent="0.25">
      <c r="A149" s="342" t="s">
        <v>214</v>
      </c>
      <c r="B149" s="336">
        <v>902</v>
      </c>
      <c r="C149" s="338" t="s">
        <v>231</v>
      </c>
      <c r="D149" s="338" t="s">
        <v>235</v>
      </c>
      <c r="E149" s="338" t="s">
        <v>922</v>
      </c>
      <c r="F149" s="338" t="s">
        <v>148</v>
      </c>
      <c r="G149" s="344">
        <f>G150</f>
        <v>197</v>
      </c>
      <c r="H149" s="344">
        <f>H150</f>
        <v>0</v>
      </c>
      <c r="I149" s="343">
        <f t="shared" si="10"/>
        <v>0</v>
      </c>
      <c r="J149" s="332"/>
    </row>
    <row r="150" spans="1:10" s="218" customFormat="1" ht="31.5" x14ac:dyDescent="0.25">
      <c r="A150" s="342" t="s">
        <v>149</v>
      </c>
      <c r="B150" s="336">
        <v>902</v>
      </c>
      <c r="C150" s="338" t="s">
        <v>231</v>
      </c>
      <c r="D150" s="338" t="s">
        <v>235</v>
      </c>
      <c r="E150" s="338" t="s">
        <v>922</v>
      </c>
      <c r="F150" s="338" t="s">
        <v>150</v>
      </c>
      <c r="G150" s="344">
        <f>99+98</f>
        <v>197</v>
      </c>
      <c r="H150" s="344">
        <v>0</v>
      </c>
      <c r="I150" s="343">
        <f t="shared" si="10"/>
        <v>0</v>
      </c>
      <c r="J150" s="332"/>
    </row>
    <row r="151" spans="1:10" s="218" customFormat="1" ht="34.5" customHeight="1" x14ac:dyDescent="0.25">
      <c r="A151" s="340" t="s">
        <v>996</v>
      </c>
      <c r="B151" s="337">
        <v>902</v>
      </c>
      <c r="C151" s="341" t="s">
        <v>231</v>
      </c>
      <c r="D151" s="341" t="s">
        <v>235</v>
      </c>
      <c r="E151" s="341" t="s">
        <v>918</v>
      </c>
      <c r="F151" s="341"/>
      <c r="G151" s="339">
        <f>G152+G157</f>
        <v>5877.4</v>
      </c>
      <c r="H151" s="339">
        <f>H152+H157</f>
        <v>3138.9</v>
      </c>
      <c r="I151" s="339">
        <f t="shared" si="10"/>
        <v>53.406268077721442</v>
      </c>
      <c r="J151" s="332"/>
    </row>
    <row r="152" spans="1:10" s="218" customFormat="1" ht="31.5" x14ac:dyDescent="0.25">
      <c r="A152" s="342" t="s">
        <v>1000</v>
      </c>
      <c r="B152" s="336">
        <v>902</v>
      </c>
      <c r="C152" s="338" t="s">
        <v>231</v>
      </c>
      <c r="D152" s="338" t="s">
        <v>235</v>
      </c>
      <c r="E152" s="338" t="s">
        <v>919</v>
      </c>
      <c r="F152" s="338"/>
      <c r="G152" s="343">
        <f>G153+G155</f>
        <v>5625.4</v>
      </c>
      <c r="H152" s="343">
        <f>H153+H155</f>
        <v>3128.8</v>
      </c>
      <c r="I152" s="343">
        <f t="shared" si="10"/>
        <v>55.619155971130951</v>
      </c>
      <c r="J152" s="332"/>
    </row>
    <row r="153" spans="1:10" s="218" customFormat="1" ht="63" x14ac:dyDescent="0.25">
      <c r="A153" s="342" t="s">
        <v>143</v>
      </c>
      <c r="B153" s="336">
        <v>902</v>
      </c>
      <c r="C153" s="338" t="s">
        <v>231</v>
      </c>
      <c r="D153" s="338" t="s">
        <v>235</v>
      </c>
      <c r="E153" s="338" t="s">
        <v>919</v>
      </c>
      <c r="F153" s="338" t="s">
        <v>144</v>
      </c>
      <c r="G153" s="343">
        <f>G154</f>
        <v>5462.4</v>
      </c>
      <c r="H153" s="343">
        <f>H154</f>
        <v>3055.8</v>
      </c>
      <c r="I153" s="343">
        <f t="shared" si="10"/>
        <v>55.942442882249566</v>
      </c>
      <c r="J153" s="332"/>
    </row>
    <row r="154" spans="1:10" s="218" customFormat="1" ht="15.75" x14ac:dyDescent="0.25">
      <c r="A154" s="342" t="s">
        <v>224</v>
      </c>
      <c r="B154" s="336">
        <v>902</v>
      </c>
      <c r="C154" s="338" t="s">
        <v>231</v>
      </c>
      <c r="D154" s="338" t="s">
        <v>235</v>
      </c>
      <c r="E154" s="338" t="s">
        <v>919</v>
      </c>
      <c r="F154" s="338" t="s">
        <v>225</v>
      </c>
      <c r="G154" s="344">
        <f>5525+79.7+10.9-153.2</f>
        <v>5462.4</v>
      </c>
      <c r="H154" s="344">
        <v>3055.8</v>
      </c>
      <c r="I154" s="343">
        <f t="shared" si="10"/>
        <v>55.942442882249566</v>
      </c>
      <c r="J154" s="332"/>
    </row>
    <row r="155" spans="1:10" s="218" customFormat="1" ht="31.5" x14ac:dyDescent="0.25">
      <c r="A155" s="342" t="s">
        <v>214</v>
      </c>
      <c r="B155" s="336">
        <v>902</v>
      </c>
      <c r="C155" s="338" t="s">
        <v>231</v>
      </c>
      <c r="D155" s="338" t="s">
        <v>235</v>
      </c>
      <c r="E155" s="338" t="s">
        <v>919</v>
      </c>
      <c r="F155" s="338" t="s">
        <v>148</v>
      </c>
      <c r="G155" s="343">
        <f>G156</f>
        <v>163</v>
      </c>
      <c r="H155" s="343">
        <f>H156</f>
        <v>73</v>
      </c>
      <c r="I155" s="343">
        <f t="shared" si="10"/>
        <v>44.785276073619634</v>
      </c>
      <c r="J155" s="332"/>
    </row>
    <row r="156" spans="1:10" s="218" customFormat="1" ht="31.5" x14ac:dyDescent="0.25">
      <c r="A156" s="342" t="s">
        <v>149</v>
      </c>
      <c r="B156" s="336">
        <v>902</v>
      </c>
      <c r="C156" s="338" t="s">
        <v>231</v>
      </c>
      <c r="D156" s="338" t="s">
        <v>235</v>
      </c>
      <c r="E156" s="338" t="s">
        <v>919</v>
      </c>
      <c r="F156" s="338" t="s">
        <v>150</v>
      </c>
      <c r="G156" s="344">
        <v>163</v>
      </c>
      <c r="H156" s="344">
        <v>73</v>
      </c>
      <c r="I156" s="343">
        <f t="shared" si="10"/>
        <v>44.785276073619634</v>
      </c>
      <c r="J156" s="332"/>
    </row>
    <row r="157" spans="1:10" s="218" customFormat="1" ht="31.5" x14ac:dyDescent="0.25">
      <c r="A157" s="342" t="s">
        <v>885</v>
      </c>
      <c r="B157" s="336">
        <v>902</v>
      </c>
      <c r="C157" s="338" t="s">
        <v>231</v>
      </c>
      <c r="D157" s="338" t="s">
        <v>235</v>
      </c>
      <c r="E157" s="338" t="s">
        <v>920</v>
      </c>
      <c r="F157" s="338"/>
      <c r="G157" s="343">
        <f>G158</f>
        <v>252</v>
      </c>
      <c r="H157" s="343">
        <f>H158</f>
        <v>10.1</v>
      </c>
      <c r="I157" s="343">
        <f t="shared" si="10"/>
        <v>4.0079365079365079</v>
      </c>
      <c r="J157" s="332"/>
    </row>
    <row r="158" spans="1:10" s="218" customFormat="1" ht="63" x14ac:dyDescent="0.25">
      <c r="A158" s="342" t="s">
        <v>143</v>
      </c>
      <c r="B158" s="336">
        <v>902</v>
      </c>
      <c r="C158" s="338" t="s">
        <v>231</v>
      </c>
      <c r="D158" s="338" t="s">
        <v>235</v>
      </c>
      <c r="E158" s="338" t="s">
        <v>920</v>
      </c>
      <c r="F158" s="338" t="s">
        <v>144</v>
      </c>
      <c r="G158" s="343">
        <f>G159</f>
        <v>252</v>
      </c>
      <c r="H158" s="343">
        <f>H159</f>
        <v>10.1</v>
      </c>
      <c r="I158" s="343">
        <f t="shared" si="10"/>
        <v>4.0079365079365079</v>
      </c>
      <c r="J158" s="332"/>
    </row>
    <row r="159" spans="1:10" s="218" customFormat="1" ht="15.75" x14ac:dyDescent="0.25">
      <c r="A159" s="342" t="s">
        <v>224</v>
      </c>
      <c r="B159" s="336">
        <v>902</v>
      </c>
      <c r="C159" s="338" t="s">
        <v>231</v>
      </c>
      <c r="D159" s="338" t="s">
        <v>235</v>
      </c>
      <c r="E159" s="338" t="s">
        <v>920</v>
      </c>
      <c r="F159" s="338" t="s">
        <v>225</v>
      </c>
      <c r="G159" s="343">
        <v>252</v>
      </c>
      <c r="H159" s="343">
        <v>10.1</v>
      </c>
      <c r="I159" s="343">
        <f t="shared" si="10"/>
        <v>4.0079365079365079</v>
      </c>
      <c r="J159" s="332"/>
    </row>
    <row r="160" spans="1:10" ht="15.75" x14ac:dyDescent="0.25">
      <c r="A160" s="340" t="s">
        <v>248</v>
      </c>
      <c r="B160" s="337">
        <v>902</v>
      </c>
      <c r="C160" s="341" t="s">
        <v>166</v>
      </c>
      <c r="D160" s="341"/>
      <c r="E160" s="341"/>
      <c r="F160" s="338"/>
      <c r="G160" s="339">
        <f>G174+G161</f>
        <v>844.8</v>
      </c>
      <c r="H160" s="339">
        <f>H174+H161</f>
        <v>180.9</v>
      </c>
      <c r="I160" s="339">
        <f t="shared" si="10"/>
        <v>21.413352272727273</v>
      </c>
    </row>
    <row r="161" spans="1:10" ht="15.75" x14ac:dyDescent="0.25">
      <c r="A161" s="340" t="s">
        <v>249</v>
      </c>
      <c r="B161" s="337">
        <v>902</v>
      </c>
      <c r="C161" s="341" t="s">
        <v>166</v>
      </c>
      <c r="D161" s="341" t="s">
        <v>250</v>
      </c>
      <c r="E161" s="341"/>
      <c r="F161" s="338"/>
      <c r="G161" s="339">
        <f>G162</f>
        <v>306</v>
      </c>
      <c r="H161" s="339">
        <f>H162</f>
        <v>91</v>
      </c>
      <c r="I161" s="339">
        <f t="shared" si="10"/>
        <v>29.738562091503269</v>
      </c>
    </row>
    <row r="162" spans="1:10" ht="45" customHeight="1" x14ac:dyDescent="0.25">
      <c r="A162" s="34" t="s">
        <v>197</v>
      </c>
      <c r="B162" s="337">
        <v>902</v>
      </c>
      <c r="C162" s="341" t="s">
        <v>166</v>
      </c>
      <c r="D162" s="341" t="s">
        <v>250</v>
      </c>
      <c r="E162" s="207" t="s">
        <v>198</v>
      </c>
      <c r="F162" s="235"/>
      <c r="G162" s="339">
        <f>G163+G170</f>
        <v>306</v>
      </c>
      <c r="H162" s="339">
        <f>H163+H170</f>
        <v>91</v>
      </c>
      <c r="I162" s="339">
        <f t="shared" si="10"/>
        <v>29.738562091503269</v>
      </c>
    </row>
    <row r="163" spans="1:10" s="218" customFormat="1" ht="35.450000000000003" customHeight="1" x14ac:dyDescent="0.25">
      <c r="A163" s="34" t="s">
        <v>1159</v>
      </c>
      <c r="B163" s="337">
        <v>902</v>
      </c>
      <c r="C163" s="341" t="s">
        <v>166</v>
      </c>
      <c r="D163" s="341" t="s">
        <v>250</v>
      </c>
      <c r="E163" s="269" t="s">
        <v>923</v>
      </c>
      <c r="F163" s="235"/>
      <c r="G163" s="339">
        <f>G164+G167</f>
        <v>285</v>
      </c>
      <c r="H163" s="339">
        <f>H164+H167</f>
        <v>91</v>
      </c>
      <c r="I163" s="339">
        <f t="shared" si="10"/>
        <v>31.929824561403507</v>
      </c>
      <c r="J163" s="332"/>
    </row>
    <row r="164" spans="1:10" ht="15.75" x14ac:dyDescent="0.25">
      <c r="A164" s="342" t="s">
        <v>924</v>
      </c>
      <c r="B164" s="336">
        <v>902</v>
      </c>
      <c r="C164" s="338" t="s">
        <v>166</v>
      </c>
      <c r="D164" s="338" t="s">
        <v>250</v>
      </c>
      <c r="E164" s="338" t="s">
        <v>968</v>
      </c>
      <c r="F164" s="32"/>
      <c r="G164" s="343">
        <f>G165</f>
        <v>30</v>
      </c>
      <c r="H164" s="343">
        <f>H165</f>
        <v>9.5</v>
      </c>
      <c r="I164" s="343">
        <f t="shared" si="10"/>
        <v>31.666666666666664</v>
      </c>
    </row>
    <row r="165" spans="1:10" ht="15.75" x14ac:dyDescent="0.25">
      <c r="A165" s="345" t="s">
        <v>151</v>
      </c>
      <c r="B165" s="336">
        <v>902</v>
      </c>
      <c r="C165" s="338" t="s">
        <v>166</v>
      </c>
      <c r="D165" s="338" t="s">
        <v>250</v>
      </c>
      <c r="E165" s="338" t="s">
        <v>968</v>
      </c>
      <c r="F165" s="32" t="s">
        <v>161</v>
      </c>
      <c r="G165" s="343">
        <f>G166</f>
        <v>30</v>
      </c>
      <c r="H165" s="343">
        <f>H166</f>
        <v>9.5</v>
      </c>
      <c r="I165" s="343">
        <f t="shared" si="10"/>
        <v>31.666666666666664</v>
      </c>
    </row>
    <row r="166" spans="1:10" ht="47.25" x14ac:dyDescent="0.25">
      <c r="A166" s="345" t="s">
        <v>200</v>
      </c>
      <c r="B166" s="336">
        <v>902</v>
      </c>
      <c r="C166" s="338" t="s">
        <v>166</v>
      </c>
      <c r="D166" s="338" t="s">
        <v>250</v>
      </c>
      <c r="E166" s="338" t="s">
        <v>968</v>
      </c>
      <c r="F166" s="32" t="s">
        <v>176</v>
      </c>
      <c r="G166" s="343">
        <f>1+29</f>
        <v>30</v>
      </c>
      <c r="H166" s="343">
        <v>9.5</v>
      </c>
      <c r="I166" s="343">
        <f t="shared" si="10"/>
        <v>31.666666666666664</v>
      </c>
    </row>
    <row r="167" spans="1:10" s="218" customFormat="1" ht="31.5" x14ac:dyDescent="0.25">
      <c r="A167" s="342" t="s">
        <v>251</v>
      </c>
      <c r="B167" s="336">
        <v>902</v>
      </c>
      <c r="C167" s="338" t="s">
        <v>166</v>
      </c>
      <c r="D167" s="338" t="s">
        <v>250</v>
      </c>
      <c r="E167" s="338" t="s">
        <v>927</v>
      </c>
      <c r="F167" s="338"/>
      <c r="G167" s="343">
        <f>G168</f>
        <v>255</v>
      </c>
      <c r="H167" s="343">
        <f>H168</f>
        <v>81.5</v>
      </c>
      <c r="I167" s="343">
        <f t="shared" si="10"/>
        <v>31.960784313725487</v>
      </c>
      <c r="J167" s="332"/>
    </row>
    <row r="168" spans="1:10" s="218" customFormat="1" ht="15.75" x14ac:dyDescent="0.25">
      <c r="A168" s="342" t="s">
        <v>151</v>
      </c>
      <c r="B168" s="336">
        <v>902</v>
      </c>
      <c r="C168" s="338" t="s">
        <v>166</v>
      </c>
      <c r="D168" s="338" t="s">
        <v>250</v>
      </c>
      <c r="E168" s="338" t="s">
        <v>927</v>
      </c>
      <c r="F168" s="338" t="s">
        <v>161</v>
      </c>
      <c r="G168" s="343">
        <f>G169</f>
        <v>255</v>
      </c>
      <c r="H168" s="343">
        <f>H169</f>
        <v>81.5</v>
      </c>
      <c r="I168" s="343">
        <f t="shared" si="10"/>
        <v>31.960784313725487</v>
      </c>
      <c r="J168" s="332"/>
    </row>
    <row r="169" spans="1:10" s="218" customFormat="1" ht="47.25" x14ac:dyDescent="0.25">
      <c r="A169" s="342" t="s">
        <v>200</v>
      </c>
      <c r="B169" s="336">
        <v>902</v>
      </c>
      <c r="C169" s="338" t="s">
        <v>166</v>
      </c>
      <c r="D169" s="338" t="s">
        <v>250</v>
      </c>
      <c r="E169" s="338" t="s">
        <v>927</v>
      </c>
      <c r="F169" s="338" t="s">
        <v>176</v>
      </c>
      <c r="G169" s="343">
        <v>255</v>
      </c>
      <c r="H169" s="343">
        <v>81.5</v>
      </c>
      <c r="I169" s="343">
        <f t="shared" si="10"/>
        <v>31.960784313725487</v>
      </c>
      <c r="J169" s="332"/>
    </row>
    <row r="170" spans="1:10" s="218" customFormat="1" ht="31.5" x14ac:dyDescent="0.25">
      <c r="A170" s="261" t="s">
        <v>1160</v>
      </c>
      <c r="B170" s="337">
        <v>902</v>
      </c>
      <c r="C170" s="341" t="s">
        <v>166</v>
      </c>
      <c r="D170" s="341" t="s">
        <v>250</v>
      </c>
      <c r="E170" s="207" t="s">
        <v>926</v>
      </c>
      <c r="F170" s="235"/>
      <c r="G170" s="339">
        <f t="shared" ref="G170:H172" si="11">G171</f>
        <v>21</v>
      </c>
      <c r="H170" s="339">
        <f t="shared" si="11"/>
        <v>0</v>
      </c>
      <c r="I170" s="339">
        <f t="shared" si="10"/>
        <v>0</v>
      </c>
      <c r="J170" s="332"/>
    </row>
    <row r="171" spans="1:10" s="218" customFormat="1" ht="15.75" x14ac:dyDescent="0.25">
      <c r="A171" s="342" t="s">
        <v>925</v>
      </c>
      <c r="B171" s="336">
        <v>902</v>
      </c>
      <c r="C171" s="338" t="s">
        <v>166</v>
      </c>
      <c r="D171" s="338" t="s">
        <v>250</v>
      </c>
      <c r="E171" s="333" t="s">
        <v>969</v>
      </c>
      <c r="F171" s="32"/>
      <c r="G171" s="343">
        <f t="shared" si="11"/>
        <v>21</v>
      </c>
      <c r="H171" s="343">
        <f t="shared" si="11"/>
        <v>0</v>
      </c>
      <c r="I171" s="343">
        <f t="shared" si="10"/>
        <v>0</v>
      </c>
      <c r="J171" s="332"/>
    </row>
    <row r="172" spans="1:10" s="218" customFormat="1" ht="15.75" x14ac:dyDescent="0.25">
      <c r="A172" s="345" t="s">
        <v>151</v>
      </c>
      <c r="B172" s="336">
        <v>902</v>
      </c>
      <c r="C172" s="338" t="s">
        <v>166</v>
      </c>
      <c r="D172" s="338" t="s">
        <v>250</v>
      </c>
      <c r="E172" s="333" t="s">
        <v>969</v>
      </c>
      <c r="F172" s="32" t="s">
        <v>161</v>
      </c>
      <c r="G172" s="343">
        <f t="shared" si="11"/>
        <v>21</v>
      </c>
      <c r="H172" s="343">
        <f t="shared" si="11"/>
        <v>0</v>
      </c>
      <c r="I172" s="343">
        <f t="shared" si="10"/>
        <v>0</v>
      </c>
      <c r="J172" s="332"/>
    </row>
    <row r="173" spans="1:10" s="218" customFormat="1" ht="47.25" x14ac:dyDescent="0.25">
      <c r="A173" s="345" t="s">
        <v>200</v>
      </c>
      <c r="B173" s="336">
        <v>902</v>
      </c>
      <c r="C173" s="338" t="s">
        <v>166</v>
      </c>
      <c r="D173" s="338" t="s">
        <v>250</v>
      </c>
      <c r="E173" s="333" t="s">
        <v>969</v>
      </c>
      <c r="F173" s="32" t="s">
        <v>176</v>
      </c>
      <c r="G173" s="343">
        <f>50-29</f>
        <v>21</v>
      </c>
      <c r="H173" s="343">
        <v>0</v>
      </c>
      <c r="I173" s="343">
        <f t="shared" si="10"/>
        <v>0</v>
      </c>
      <c r="J173" s="332"/>
    </row>
    <row r="174" spans="1:10" ht="15.75" x14ac:dyDescent="0.25">
      <c r="A174" s="340" t="s">
        <v>253</v>
      </c>
      <c r="B174" s="337">
        <v>902</v>
      </c>
      <c r="C174" s="341" t="s">
        <v>166</v>
      </c>
      <c r="D174" s="341" t="s">
        <v>254</v>
      </c>
      <c r="E174" s="341"/>
      <c r="F174" s="341"/>
      <c r="G174" s="339">
        <f>G175+G182</f>
        <v>538.79999999999995</v>
      </c>
      <c r="H174" s="339">
        <f>H175+H182</f>
        <v>89.9</v>
      </c>
      <c r="I174" s="339">
        <f t="shared" si="10"/>
        <v>16.685226429101711</v>
      </c>
    </row>
    <row r="175" spans="1:10" ht="31.5" x14ac:dyDescent="0.25">
      <c r="A175" s="340" t="s">
        <v>990</v>
      </c>
      <c r="B175" s="337">
        <v>902</v>
      </c>
      <c r="C175" s="341" t="s">
        <v>166</v>
      </c>
      <c r="D175" s="341" t="s">
        <v>254</v>
      </c>
      <c r="E175" s="341" t="s">
        <v>904</v>
      </c>
      <c r="F175" s="341"/>
      <c r="G175" s="339">
        <f>G176</f>
        <v>288.8</v>
      </c>
      <c r="H175" s="339">
        <f>H176</f>
        <v>89.9</v>
      </c>
      <c r="I175" s="339">
        <f t="shared" si="10"/>
        <v>31.128808864265928</v>
      </c>
    </row>
    <row r="176" spans="1:10" ht="31.5" x14ac:dyDescent="0.25">
      <c r="A176" s="340" t="s">
        <v>932</v>
      </c>
      <c r="B176" s="337">
        <v>902</v>
      </c>
      <c r="C176" s="341" t="s">
        <v>166</v>
      </c>
      <c r="D176" s="341" t="s">
        <v>254</v>
      </c>
      <c r="E176" s="341" t="s">
        <v>909</v>
      </c>
      <c r="F176" s="341"/>
      <c r="G176" s="339">
        <f>G177+G187</f>
        <v>288.8</v>
      </c>
      <c r="H176" s="339">
        <f>H177+H187</f>
        <v>89.9</v>
      </c>
      <c r="I176" s="339">
        <f t="shared" si="10"/>
        <v>31.128808864265928</v>
      </c>
    </row>
    <row r="177" spans="1:10" ht="69.75" customHeight="1" x14ac:dyDescent="0.25">
      <c r="A177" s="31" t="s">
        <v>257</v>
      </c>
      <c r="B177" s="336">
        <v>902</v>
      </c>
      <c r="C177" s="338" t="s">
        <v>166</v>
      </c>
      <c r="D177" s="338" t="s">
        <v>254</v>
      </c>
      <c r="E177" s="338" t="s">
        <v>997</v>
      </c>
      <c r="F177" s="338"/>
      <c r="G177" s="343">
        <f>G178+G180</f>
        <v>288.8</v>
      </c>
      <c r="H177" s="343">
        <f>H178+H180</f>
        <v>89.9</v>
      </c>
      <c r="I177" s="343">
        <f t="shared" si="10"/>
        <v>31.128808864265928</v>
      </c>
    </row>
    <row r="178" spans="1:10" ht="63" x14ac:dyDescent="0.25">
      <c r="A178" s="342" t="s">
        <v>143</v>
      </c>
      <c r="B178" s="336">
        <v>902</v>
      </c>
      <c r="C178" s="338" t="s">
        <v>166</v>
      </c>
      <c r="D178" s="338" t="s">
        <v>254</v>
      </c>
      <c r="E178" s="338" t="s">
        <v>997</v>
      </c>
      <c r="F178" s="338" t="s">
        <v>144</v>
      </c>
      <c r="G178" s="343">
        <f>G179</f>
        <v>187</v>
      </c>
      <c r="H178" s="343">
        <f>H179</f>
        <v>89.9</v>
      </c>
      <c r="I178" s="343">
        <f t="shared" si="10"/>
        <v>48.074866310160431</v>
      </c>
    </row>
    <row r="179" spans="1:10" ht="31.5" x14ac:dyDescent="0.25">
      <c r="A179" s="342" t="s">
        <v>145</v>
      </c>
      <c r="B179" s="336">
        <v>902</v>
      </c>
      <c r="C179" s="338" t="s">
        <v>166</v>
      </c>
      <c r="D179" s="338" t="s">
        <v>254</v>
      </c>
      <c r="E179" s="338" t="s">
        <v>997</v>
      </c>
      <c r="F179" s="338" t="s">
        <v>146</v>
      </c>
      <c r="G179" s="343">
        <v>187</v>
      </c>
      <c r="H179" s="343">
        <v>89.9</v>
      </c>
      <c r="I179" s="343">
        <f t="shared" si="10"/>
        <v>48.074866310160431</v>
      </c>
    </row>
    <row r="180" spans="1:10" ht="31.5" x14ac:dyDescent="0.25">
      <c r="A180" s="342" t="s">
        <v>147</v>
      </c>
      <c r="B180" s="336">
        <v>902</v>
      </c>
      <c r="C180" s="338" t="s">
        <v>166</v>
      </c>
      <c r="D180" s="338" t="s">
        <v>254</v>
      </c>
      <c r="E180" s="338" t="s">
        <v>997</v>
      </c>
      <c r="F180" s="338" t="s">
        <v>148</v>
      </c>
      <c r="G180" s="343">
        <f>G181</f>
        <v>101.8</v>
      </c>
      <c r="H180" s="343">
        <f>H181</f>
        <v>0</v>
      </c>
      <c r="I180" s="343">
        <f t="shared" si="10"/>
        <v>0</v>
      </c>
    </row>
    <row r="181" spans="1:10" ht="31.5" x14ac:dyDescent="0.25">
      <c r="A181" s="342" t="s">
        <v>149</v>
      </c>
      <c r="B181" s="336">
        <v>902</v>
      </c>
      <c r="C181" s="338" t="s">
        <v>166</v>
      </c>
      <c r="D181" s="338" t="s">
        <v>254</v>
      </c>
      <c r="E181" s="338" t="s">
        <v>997</v>
      </c>
      <c r="F181" s="338" t="s">
        <v>150</v>
      </c>
      <c r="G181" s="343">
        <v>101.8</v>
      </c>
      <c r="H181" s="343">
        <v>0</v>
      </c>
      <c r="I181" s="343">
        <f t="shared" si="10"/>
        <v>0</v>
      </c>
    </row>
    <row r="182" spans="1:10" s="218" customFormat="1" ht="47.25" x14ac:dyDescent="0.25">
      <c r="A182" s="340" t="s">
        <v>1239</v>
      </c>
      <c r="B182" s="337">
        <v>902</v>
      </c>
      <c r="C182" s="341" t="s">
        <v>166</v>
      </c>
      <c r="D182" s="341" t="s">
        <v>254</v>
      </c>
      <c r="E182" s="341" t="s">
        <v>172</v>
      </c>
      <c r="F182" s="341"/>
      <c r="G182" s="339">
        <f>G183</f>
        <v>250</v>
      </c>
      <c r="H182" s="339">
        <f>H183</f>
        <v>0</v>
      </c>
      <c r="I182" s="339">
        <f t="shared" si="10"/>
        <v>0</v>
      </c>
      <c r="J182" s="332"/>
    </row>
    <row r="183" spans="1:10" s="218" customFormat="1" ht="31.5" x14ac:dyDescent="0.25">
      <c r="A183" s="340" t="s">
        <v>1243</v>
      </c>
      <c r="B183" s="337">
        <v>902</v>
      </c>
      <c r="C183" s="341" t="s">
        <v>166</v>
      </c>
      <c r="D183" s="341" t="s">
        <v>254</v>
      </c>
      <c r="E183" s="341" t="s">
        <v>1240</v>
      </c>
      <c r="F183" s="341"/>
      <c r="G183" s="339">
        <f>G184+G187</f>
        <v>250</v>
      </c>
      <c r="H183" s="339">
        <f>H184+H187</f>
        <v>0</v>
      </c>
      <c r="I183" s="339">
        <f t="shared" si="10"/>
        <v>0</v>
      </c>
      <c r="J183" s="332"/>
    </row>
    <row r="184" spans="1:10" s="218" customFormat="1" ht="31.5" x14ac:dyDescent="0.25">
      <c r="A184" s="342" t="s">
        <v>1244</v>
      </c>
      <c r="B184" s="336">
        <v>902</v>
      </c>
      <c r="C184" s="338" t="s">
        <v>166</v>
      </c>
      <c r="D184" s="338" t="s">
        <v>254</v>
      </c>
      <c r="E184" s="338" t="s">
        <v>1241</v>
      </c>
      <c r="F184" s="338"/>
      <c r="G184" s="343">
        <f>G185</f>
        <v>250</v>
      </c>
      <c r="H184" s="343">
        <f>H185</f>
        <v>0</v>
      </c>
      <c r="I184" s="343">
        <f t="shared" si="10"/>
        <v>0</v>
      </c>
      <c r="J184" s="332"/>
    </row>
    <row r="185" spans="1:10" s="218" customFormat="1" ht="15.75" x14ac:dyDescent="0.25">
      <c r="A185" s="342" t="s">
        <v>151</v>
      </c>
      <c r="B185" s="336">
        <v>902</v>
      </c>
      <c r="C185" s="338" t="s">
        <v>166</v>
      </c>
      <c r="D185" s="338" t="s">
        <v>254</v>
      </c>
      <c r="E185" s="338" t="s">
        <v>1241</v>
      </c>
      <c r="F185" s="338" t="s">
        <v>161</v>
      </c>
      <c r="G185" s="343">
        <f>G186</f>
        <v>250</v>
      </c>
      <c r="H185" s="343">
        <f>H186</f>
        <v>0</v>
      </c>
      <c r="I185" s="343">
        <f t="shared" si="10"/>
        <v>0</v>
      </c>
      <c r="J185" s="332"/>
    </row>
    <row r="186" spans="1:10" s="218" customFormat="1" ht="47.25" x14ac:dyDescent="0.25">
      <c r="A186" s="342" t="s">
        <v>200</v>
      </c>
      <c r="B186" s="336">
        <v>902</v>
      </c>
      <c r="C186" s="338" t="s">
        <v>166</v>
      </c>
      <c r="D186" s="338" t="s">
        <v>254</v>
      </c>
      <c r="E186" s="338" t="s">
        <v>1241</v>
      </c>
      <c r="F186" s="338" t="s">
        <v>176</v>
      </c>
      <c r="G186" s="343">
        <v>250</v>
      </c>
      <c r="H186" s="343">
        <v>0</v>
      </c>
      <c r="I186" s="343">
        <f t="shared" si="10"/>
        <v>0</v>
      </c>
      <c r="J186" s="332"/>
    </row>
    <row r="187" spans="1:10" s="218" customFormat="1" ht="31.5" hidden="1" x14ac:dyDescent="0.25">
      <c r="A187" s="342" t="s">
        <v>255</v>
      </c>
      <c r="B187" s="336">
        <v>902</v>
      </c>
      <c r="C187" s="338" t="s">
        <v>166</v>
      </c>
      <c r="D187" s="338" t="s">
        <v>254</v>
      </c>
      <c r="E187" s="338" t="s">
        <v>1242</v>
      </c>
      <c r="F187" s="341"/>
      <c r="G187" s="343">
        <f>G188</f>
        <v>0</v>
      </c>
      <c r="H187" s="343">
        <f>H188</f>
        <v>0</v>
      </c>
      <c r="I187" s="343" t="e">
        <f t="shared" si="10"/>
        <v>#DIV/0!</v>
      </c>
      <c r="J187" s="332"/>
    </row>
    <row r="188" spans="1:10" s="218" customFormat="1" ht="15.75" hidden="1" x14ac:dyDescent="0.25">
      <c r="A188" s="342" t="s">
        <v>151</v>
      </c>
      <c r="B188" s="336">
        <v>902</v>
      </c>
      <c r="C188" s="338" t="s">
        <v>166</v>
      </c>
      <c r="D188" s="338" t="s">
        <v>254</v>
      </c>
      <c r="E188" s="338" t="s">
        <v>1242</v>
      </c>
      <c r="F188" s="338" t="s">
        <v>161</v>
      </c>
      <c r="G188" s="343">
        <f>G189</f>
        <v>0</v>
      </c>
      <c r="H188" s="343">
        <f>H189</f>
        <v>0</v>
      </c>
      <c r="I188" s="343" t="e">
        <f t="shared" si="10"/>
        <v>#DIV/0!</v>
      </c>
      <c r="J188" s="332"/>
    </row>
    <row r="189" spans="1:10" s="218" customFormat="1" ht="47.25" hidden="1" x14ac:dyDescent="0.25">
      <c r="A189" s="342" t="s">
        <v>200</v>
      </c>
      <c r="B189" s="336">
        <v>902</v>
      </c>
      <c r="C189" s="338" t="s">
        <v>166</v>
      </c>
      <c r="D189" s="338" t="s">
        <v>254</v>
      </c>
      <c r="E189" s="338" t="s">
        <v>1242</v>
      </c>
      <c r="F189" s="338" t="s">
        <v>176</v>
      </c>
      <c r="G189" s="343">
        <v>0</v>
      </c>
      <c r="H189" s="343">
        <v>0</v>
      </c>
      <c r="I189" s="343" t="e">
        <f t="shared" si="10"/>
        <v>#DIV/0!</v>
      </c>
      <c r="J189" s="332"/>
    </row>
    <row r="190" spans="1:10" ht="16.5" customHeight="1" x14ac:dyDescent="0.25">
      <c r="A190" s="340" t="s">
        <v>259</v>
      </c>
      <c r="B190" s="337">
        <v>902</v>
      </c>
      <c r="C190" s="341" t="s">
        <v>260</v>
      </c>
      <c r="D190" s="341"/>
      <c r="E190" s="341"/>
      <c r="F190" s="341"/>
      <c r="G190" s="339">
        <f>G191+G197+G203</f>
        <v>13087.4</v>
      </c>
      <c r="H190" s="339">
        <f>H191+H197+H203</f>
        <v>7310.4</v>
      </c>
      <c r="I190" s="339">
        <f t="shared" si="10"/>
        <v>55.85830646270459</v>
      </c>
    </row>
    <row r="191" spans="1:10" ht="15.75" x14ac:dyDescent="0.25">
      <c r="A191" s="340" t="s">
        <v>261</v>
      </c>
      <c r="B191" s="337">
        <v>902</v>
      </c>
      <c r="C191" s="341" t="s">
        <v>260</v>
      </c>
      <c r="D191" s="341" t="s">
        <v>134</v>
      </c>
      <c r="E191" s="341"/>
      <c r="F191" s="341"/>
      <c r="G191" s="339">
        <f t="shared" ref="G191:H195" si="12">G192</f>
        <v>9456</v>
      </c>
      <c r="H191" s="339">
        <f t="shared" si="12"/>
        <v>5985.4</v>
      </c>
      <c r="I191" s="339">
        <f t="shared" si="10"/>
        <v>63.29737732656514</v>
      </c>
    </row>
    <row r="192" spans="1:10" ht="15.75" x14ac:dyDescent="0.25">
      <c r="A192" s="340" t="s">
        <v>157</v>
      </c>
      <c r="B192" s="337">
        <v>902</v>
      </c>
      <c r="C192" s="341" t="s">
        <v>260</v>
      </c>
      <c r="D192" s="341" t="s">
        <v>134</v>
      </c>
      <c r="E192" s="341" t="s">
        <v>912</v>
      </c>
      <c r="F192" s="341"/>
      <c r="G192" s="339">
        <f t="shared" si="12"/>
        <v>9456</v>
      </c>
      <c r="H192" s="339">
        <f t="shared" si="12"/>
        <v>5985.4</v>
      </c>
      <c r="I192" s="339">
        <f t="shared" si="10"/>
        <v>63.29737732656514</v>
      </c>
    </row>
    <row r="193" spans="1:10" ht="31.5" x14ac:dyDescent="0.25">
      <c r="A193" s="340" t="s">
        <v>916</v>
      </c>
      <c r="B193" s="337">
        <v>902</v>
      </c>
      <c r="C193" s="341" t="s">
        <v>260</v>
      </c>
      <c r="D193" s="341" t="s">
        <v>134</v>
      </c>
      <c r="E193" s="341" t="s">
        <v>911</v>
      </c>
      <c r="F193" s="341"/>
      <c r="G193" s="339">
        <f t="shared" si="12"/>
        <v>9456</v>
      </c>
      <c r="H193" s="339">
        <f t="shared" si="12"/>
        <v>5985.4</v>
      </c>
      <c r="I193" s="339">
        <f t="shared" si="10"/>
        <v>63.29737732656514</v>
      </c>
    </row>
    <row r="194" spans="1:10" ht="15.75" x14ac:dyDescent="0.25">
      <c r="A194" s="342" t="s">
        <v>262</v>
      </c>
      <c r="B194" s="336">
        <v>902</v>
      </c>
      <c r="C194" s="338" t="s">
        <v>260</v>
      </c>
      <c r="D194" s="338" t="s">
        <v>134</v>
      </c>
      <c r="E194" s="338" t="s">
        <v>928</v>
      </c>
      <c r="F194" s="338"/>
      <c r="G194" s="343">
        <f t="shared" si="12"/>
        <v>9456</v>
      </c>
      <c r="H194" s="343">
        <f t="shared" si="12"/>
        <v>5985.4</v>
      </c>
      <c r="I194" s="343">
        <f t="shared" si="10"/>
        <v>63.29737732656514</v>
      </c>
    </row>
    <row r="195" spans="1:10" ht="15.75" x14ac:dyDescent="0.25">
      <c r="A195" s="342" t="s">
        <v>264</v>
      </c>
      <c r="B195" s="336">
        <v>902</v>
      </c>
      <c r="C195" s="338" t="s">
        <v>260</v>
      </c>
      <c r="D195" s="338" t="s">
        <v>134</v>
      </c>
      <c r="E195" s="338" t="s">
        <v>928</v>
      </c>
      <c r="F195" s="338" t="s">
        <v>265</v>
      </c>
      <c r="G195" s="343">
        <f t="shared" si="12"/>
        <v>9456</v>
      </c>
      <c r="H195" s="343">
        <f t="shared" si="12"/>
        <v>5985.4</v>
      </c>
      <c r="I195" s="343">
        <f t="shared" si="10"/>
        <v>63.29737732656514</v>
      </c>
    </row>
    <row r="196" spans="1:10" ht="31.5" x14ac:dyDescent="0.25">
      <c r="A196" s="342" t="s">
        <v>266</v>
      </c>
      <c r="B196" s="336">
        <v>902</v>
      </c>
      <c r="C196" s="338" t="s">
        <v>260</v>
      </c>
      <c r="D196" s="338" t="s">
        <v>134</v>
      </c>
      <c r="E196" s="338" t="s">
        <v>928</v>
      </c>
      <c r="F196" s="338" t="s">
        <v>267</v>
      </c>
      <c r="G196" s="344">
        <f>9066.4+389.6</f>
        <v>9456</v>
      </c>
      <c r="H196" s="344">
        <v>5985.4</v>
      </c>
      <c r="I196" s="343">
        <f t="shared" si="10"/>
        <v>63.29737732656514</v>
      </c>
    </row>
    <row r="197" spans="1:10" ht="15.75" x14ac:dyDescent="0.25">
      <c r="A197" s="340" t="s">
        <v>268</v>
      </c>
      <c r="B197" s="337">
        <v>902</v>
      </c>
      <c r="C197" s="341" t="s">
        <v>260</v>
      </c>
      <c r="D197" s="341" t="s">
        <v>231</v>
      </c>
      <c r="E197" s="338"/>
      <c r="F197" s="338"/>
      <c r="G197" s="339">
        <f>G198</f>
        <v>10</v>
      </c>
      <c r="H197" s="339">
        <f>H198</f>
        <v>0</v>
      </c>
      <c r="I197" s="339">
        <f t="shared" si="10"/>
        <v>0</v>
      </c>
    </row>
    <row r="198" spans="1:10" ht="63" x14ac:dyDescent="0.25">
      <c r="A198" s="340" t="s">
        <v>269</v>
      </c>
      <c r="B198" s="337">
        <v>902</v>
      </c>
      <c r="C198" s="341" t="s">
        <v>260</v>
      </c>
      <c r="D198" s="341" t="s">
        <v>231</v>
      </c>
      <c r="E198" s="341" t="s">
        <v>270</v>
      </c>
      <c r="F198" s="341"/>
      <c r="G198" s="339">
        <f>G200</f>
        <v>10</v>
      </c>
      <c r="H198" s="339">
        <f>H200</f>
        <v>0</v>
      </c>
      <c r="I198" s="339">
        <f t="shared" si="10"/>
        <v>0</v>
      </c>
    </row>
    <row r="199" spans="1:10" s="218" customFormat="1" ht="31.5" x14ac:dyDescent="0.25">
      <c r="A199" s="34" t="s">
        <v>931</v>
      </c>
      <c r="B199" s="337">
        <v>902</v>
      </c>
      <c r="C199" s="341" t="s">
        <v>260</v>
      </c>
      <c r="D199" s="341" t="s">
        <v>231</v>
      </c>
      <c r="E199" s="341" t="s">
        <v>929</v>
      </c>
      <c r="F199" s="341"/>
      <c r="G199" s="339">
        <f t="shared" ref="G199:H201" si="13">G200</f>
        <v>10</v>
      </c>
      <c r="H199" s="339">
        <f t="shared" si="13"/>
        <v>0</v>
      </c>
      <c r="I199" s="339">
        <f t="shared" si="10"/>
        <v>0</v>
      </c>
      <c r="J199" s="332"/>
    </row>
    <row r="200" spans="1:10" ht="28.5" customHeight="1" x14ac:dyDescent="0.25">
      <c r="A200" s="342" t="s">
        <v>1483</v>
      </c>
      <c r="B200" s="336">
        <v>902</v>
      </c>
      <c r="C200" s="338" t="s">
        <v>260</v>
      </c>
      <c r="D200" s="338" t="s">
        <v>231</v>
      </c>
      <c r="E200" s="338" t="s">
        <v>1470</v>
      </c>
      <c r="F200" s="338"/>
      <c r="G200" s="343">
        <f t="shared" si="13"/>
        <v>10</v>
      </c>
      <c r="H200" s="343">
        <f t="shared" si="13"/>
        <v>0</v>
      </c>
      <c r="I200" s="343">
        <f t="shared" si="10"/>
        <v>0</v>
      </c>
    </row>
    <row r="201" spans="1:10" ht="19.5" customHeight="1" x14ac:dyDescent="0.25">
      <c r="A201" s="342" t="s">
        <v>264</v>
      </c>
      <c r="B201" s="336">
        <v>902</v>
      </c>
      <c r="C201" s="338" t="s">
        <v>260</v>
      </c>
      <c r="D201" s="338" t="s">
        <v>231</v>
      </c>
      <c r="E201" s="338" t="s">
        <v>1470</v>
      </c>
      <c r="F201" s="338" t="s">
        <v>265</v>
      </c>
      <c r="G201" s="343">
        <f t="shared" si="13"/>
        <v>10</v>
      </c>
      <c r="H201" s="343">
        <f t="shared" si="13"/>
        <v>0</v>
      </c>
      <c r="I201" s="343">
        <f t="shared" si="10"/>
        <v>0</v>
      </c>
    </row>
    <row r="202" spans="1:10" ht="31.5" x14ac:dyDescent="0.25">
      <c r="A202" s="342" t="s">
        <v>266</v>
      </c>
      <c r="B202" s="336">
        <v>902</v>
      </c>
      <c r="C202" s="338" t="s">
        <v>260</v>
      </c>
      <c r="D202" s="338" t="s">
        <v>231</v>
      </c>
      <c r="E202" s="338" t="s">
        <v>1470</v>
      </c>
      <c r="F202" s="338" t="s">
        <v>267</v>
      </c>
      <c r="G202" s="343">
        <v>10</v>
      </c>
      <c r="H202" s="343">
        <v>0</v>
      </c>
      <c r="I202" s="343">
        <f t="shared" si="10"/>
        <v>0</v>
      </c>
    </row>
    <row r="203" spans="1:10" ht="15.75" x14ac:dyDescent="0.25">
      <c r="A203" s="340" t="s">
        <v>274</v>
      </c>
      <c r="B203" s="337">
        <v>902</v>
      </c>
      <c r="C203" s="341" t="s">
        <v>260</v>
      </c>
      <c r="D203" s="341" t="s">
        <v>136</v>
      </c>
      <c r="E203" s="341"/>
      <c r="F203" s="341"/>
      <c r="G203" s="339">
        <f t="shared" ref="G203:H205" si="14">G204</f>
        <v>3621.4</v>
      </c>
      <c r="H203" s="339">
        <f t="shared" si="14"/>
        <v>1325</v>
      </c>
      <c r="I203" s="339">
        <f t="shared" ref="I203:I266" si="15">H203/G203*100</f>
        <v>36.588059866350029</v>
      </c>
    </row>
    <row r="204" spans="1:10" ht="31.5" x14ac:dyDescent="0.25">
      <c r="A204" s="340" t="s">
        <v>990</v>
      </c>
      <c r="B204" s="337">
        <v>902</v>
      </c>
      <c r="C204" s="341" t="s">
        <v>260</v>
      </c>
      <c r="D204" s="341" t="s">
        <v>136</v>
      </c>
      <c r="E204" s="341" t="s">
        <v>904</v>
      </c>
      <c r="F204" s="341"/>
      <c r="G204" s="339">
        <f t="shared" si="14"/>
        <v>3621.4</v>
      </c>
      <c r="H204" s="339">
        <f t="shared" si="14"/>
        <v>1325</v>
      </c>
      <c r="I204" s="339">
        <f t="shared" si="15"/>
        <v>36.588059866350029</v>
      </c>
    </row>
    <row r="205" spans="1:10" ht="31.5" x14ac:dyDescent="0.25">
      <c r="A205" s="340" t="s">
        <v>932</v>
      </c>
      <c r="B205" s="337">
        <v>902</v>
      </c>
      <c r="C205" s="341" t="s">
        <v>260</v>
      </c>
      <c r="D205" s="341" t="s">
        <v>136</v>
      </c>
      <c r="E205" s="341" t="s">
        <v>909</v>
      </c>
      <c r="F205" s="341"/>
      <c r="G205" s="339">
        <f t="shared" si="14"/>
        <v>3621.4</v>
      </c>
      <c r="H205" s="339">
        <f t="shared" si="14"/>
        <v>1325</v>
      </c>
      <c r="I205" s="339">
        <f t="shared" si="15"/>
        <v>36.588059866350029</v>
      </c>
    </row>
    <row r="206" spans="1:10" ht="47.25" customHeight="1" x14ac:dyDescent="0.25">
      <c r="A206" s="31" t="s">
        <v>275</v>
      </c>
      <c r="B206" s="336">
        <v>902</v>
      </c>
      <c r="C206" s="338" t="s">
        <v>260</v>
      </c>
      <c r="D206" s="338" t="s">
        <v>136</v>
      </c>
      <c r="E206" s="338" t="s">
        <v>998</v>
      </c>
      <c r="F206" s="338"/>
      <c r="G206" s="343">
        <f>G207+G209</f>
        <v>3621.4</v>
      </c>
      <c r="H206" s="343">
        <f>H207+H209</f>
        <v>1325</v>
      </c>
      <c r="I206" s="343">
        <f t="shared" si="15"/>
        <v>36.588059866350029</v>
      </c>
    </row>
    <row r="207" spans="1:10" ht="63" x14ac:dyDescent="0.25">
      <c r="A207" s="342" t="s">
        <v>143</v>
      </c>
      <c r="B207" s="336">
        <v>902</v>
      </c>
      <c r="C207" s="338" t="s">
        <v>260</v>
      </c>
      <c r="D207" s="338" t="s">
        <v>136</v>
      </c>
      <c r="E207" s="338" t="s">
        <v>998</v>
      </c>
      <c r="F207" s="338" t="s">
        <v>144</v>
      </c>
      <c r="G207" s="343">
        <f>G208</f>
        <v>3220.8</v>
      </c>
      <c r="H207" s="343">
        <f>H208</f>
        <v>1270.0999999999999</v>
      </c>
      <c r="I207" s="343">
        <f t="shared" si="15"/>
        <v>39.434302036761046</v>
      </c>
    </row>
    <row r="208" spans="1:10" ht="31.5" x14ac:dyDescent="0.25">
      <c r="A208" s="342" t="s">
        <v>145</v>
      </c>
      <c r="B208" s="336">
        <v>902</v>
      </c>
      <c r="C208" s="338" t="s">
        <v>260</v>
      </c>
      <c r="D208" s="338" t="s">
        <v>136</v>
      </c>
      <c r="E208" s="338" t="s">
        <v>998</v>
      </c>
      <c r="F208" s="338" t="s">
        <v>146</v>
      </c>
      <c r="G208" s="344">
        <f>3353.3-132.5</f>
        <v>3220.8</v>
      </c>
      <c r="H208" s="344">
        <v>1270.0999999999999</v>
      </c>
      <c r="I208" s="343">
        <f t="shared" si="15"/>
        <v>39.434302036761046</v>
      </c>
    </row>
    <row r="209" spans="1:10" ht="31.5" x14ac:dyDescent="0.25">
      <c r="A209" s="342" t="s">
        <v>147</v>
      </c>
      <c r="B209" s="336">
        <v>902</v>
      </c>
      <c r="C209" s="338" t="s">
        <v>260</v>
      </c>
      <c r="D209" s="338" t="s">
        <v>136</v>
      </c>
      <c r="E209" s="338" t="s">
        <v>998</v>
      </c>
      <c r="F209" s="338" t="s">
        <v>148</v>
      </c>
      <c r="G209" s="343">
        <f>G210</f>
        <v>400.6</v>
      </c>
      <c r="H209" s="343">
        <f>H210</f>
        <v>54.9</v>
      </c>
      <c r="I209" s="343">
        <f t="shared" si="15"/>
        <v>13.704443334997501</v>
      </c>
    </row>
    <row r="210" spans="1:10" ht="31.5" x14ac:dyDescent="0.25">
      <c r="A210" s="342" t="s">
        <v>149</v>
      </c>
      <c r="B210" s="336">
        <v>902</v>
      </c>
      <c r="C210" s="338" t="s">
        <v>260</v>
      </c>
      <c r="D210" s="338" t="s">
        <v>136</v>
      </c>
      <c r="E210" s="338" t="s">
        <v>998</v>
      </c>
      <c r="F210" s="338" t="s">
        <v>150</v>
      </c>
      <c r="G210" s="344">
        <f>268.1+132.5</f>
        <v>400.6</v>
      </c>
      <c r="H210" s="344">
        <v>54.9</v>
      </c>
      <c r="I210" s="343">
        <f t="shared" si="15"/>
        <v>13.704443334997501</v>
      </c>
    </row>
    <row r="211" spans="1:10" ht="48.75" customHeight="1" x14ac:dyDescent="0.25">
      <c r="A211" s="337" t="s">
        <v>277</v>
      </c>
      <c r="B211" s="337">
        <v>903</v>
      </c>
      <c r="C211" s="338"/>
      <c r="D211" s="338"/>
      <c r="E211" s="338"/>
      <c r="F211" s="338"/>
      <c r="G211" s="339">
        <f>G274+G338+G444+G212+G245+G473</f>
        <v>99538.323000000004</v>
      </c>
      <c r="H211" s="339">
        <f>H274+H338+H444+H212+H245+H473</f>
        <v>45791.35</v>
      </c>
      <c r="I211" s="339">
        <f t="shared" si="15"/>
        <v>46.003738680628565</v>
      </c>
    </row>
    <row r="212" spans="1:10" ht="15.75" x14ac:dyDescent="0.25">
      <c r="A212" s="340" t="s">
        <v>133</v>
      </c>
      <c r="B212" s="337">
        <v>903</v>
      </c>
      <c r="C212" s="341" t="s">
        <v>134</v>
      </c>
      <c r="D212" s="338"/>
      <c r="E212" s="338"/>
      <c r="F212" s="338"/>
      <c r="G212" s="339">
        <f>G213</f>
        <v>248.7</v>
      </c>
      <c r="H212" s="339">
        <f>H213</f>
        <v>131.5</v>
      </c>
      <c r="I212" s="339">
        <f t="shared" si="15"/>
        <v>52.874949738640929</v>
      </c>
    </row>
    <row r="213" spans="1:10" ht="15.75" x14ac:dyDescent="0.25">
      <c r="A213" s="340" t="s">
        <v>155</v>
      </c>
      <c r="B213" s="337">
        <v>903</v>
      </c>
      <c r="C213" s="341" t="s">
        <v>134</v>
      </c>
      <c r="D213" s="341" t="s">
        <v>156</v>
      </c>
      <c r="E213" s="338"/>
      <c r="F213" s="338"/>
      <c r="G213" s="339">
        <f>G214+G223+G240</f>
        <v>248.7</v>
      </c>
      <c r="H213" s="339">
        <f>H214+H223+H240</f>
        <v>131.5</v>
      </c>
      <c r="I213" s="339">
        <f t="shared" si="15"/>
        <v>52.874949738640929</v>
      </c>
    </row>
    <row r="214" spans="1:10" ht="47.25" x14ac:dyDescent="0.25">
      <c r="A214" s="340" t="s">
        <v>359</v>
      </c>
      <c r="B214" s="337">
        <v>903</v>
      </c>
      <c r="C214" s="8" t="s">
        <v>134</v>
      </c>
      <c r="D214" s="8" t="s">
        <v>156</v>
      </c>
      <c r="E214" s="207" t="s">
        <v>360</v>
      </c>
      <c r="F214" s="8"/>
      <c r="G214" s="339">
        <f>G215</f>
        <v>188.7</v>
      </c>
      <c r="H214" s="339">
        <f>H215</f>
        <v>131.5</v>
      </c>
      <c r="I214" s="339">
        <f t="shared" si="15"/>
        <v>69.687334393216744</v>
      </c>
    </row>
    <row r="215" spans="1:10" ht="81.75" customHeight="1" x14ac:dyDescent="0.25">
      <c r="A215" s="41" t="s">
        <v>396</v>
      </c>
      <c r="B215" s="337">
        <v>903</v>
      </c>
      <c r="C215" s="334" t="s">
        <v>134</v>
      </c>
      <c r="D215" s="334" t="s">
        <v>156</v>
      </c>
      <c r="E215" s="334" t="s">
        <v>397</v>
      </c>
      <c r="F215" s="334"/>
      <c r="G215" s="339">
        <f>G216</f>
        <v>188.7</v>
      </c>
      <c r="H215" s="339">
        <f>H216</f>
        <v>131.5</v>
      </c>
      <c r="I215" s="339">
        <f t="shared" si="15"/>
        <v>69.687334393216744</v>
      </c>
    </row>
    <row r="216" spans="1:10" s="218" customFormat="1" ht="47.25" x14ac:dyDescent="0.25">
      <c r="A216" s="268" t="s">
        <v>1219</v>
      </c>
      <c r="B216" s="337">
        <v>903</v>
      </c>
      <c r="C216" s="334" t="s">
        <v>134</v>
      </c>
      <c r="D216" s="334" t="s">
        <v>156</v>
      </c>
      <c r="E216" s="334" t="s">
        <v>933</v>
      </c>
      <c r="F216" s="334"/>
      <c r="G216" s="339">
        <f>G217+G220</f>
        <v>188.7</v>
      </c>
      <c r="H216" s="339">
        <f>H217+H220</f>
        <v>131.5</v>
      </c>
      <c r="I216" s="339">
        <f t="shared" si="15"/>
        <v>69.687334393216744</v>
      </c>
      <c r="J216" s="332"/>
    </row>
    <row r="217" spans="1:10" ht="31.5" x14ac:dyDescent="0.25">
      <c r="A217" s="99" t="s">
        <v>1299</v>
      </c>
      <c r="B217" s="336">
        <v>903</v>
      </c>
      <c r="C217" s="346" t="s">
        <v>134</v>
      </c>
      <c r="D217" s="346" t="s">
        <v>156</v>
      </c>
      <c r="E217" s="346" t="s">
        <v>934</v>
      </c>
      <c r="F217" s="346"/>
      <c r="G217" s="343">
        <f>G218</f>
        <v>188.7</v>
      </c>
      <c r="H217" s="343">
        <f>H218</f>
        <v>131.5</v>
      </c>
      <c r="I217" s="343">
        <f t="shared" si="15"/>
        <v>69.687334393216744</v>
      </c>
    </row>
    <row r="218" spans="1:10" ht="31.5" x14ac:dyDescent="0.25">
      <c r="A218" s="345" t="s">
        <v>147</v>
      </c>
      <c r="B218" s="336">
        <v>903</v>
      </c>
      <c r="C218" s="346" t="s">
        <v>134</v>
      </c>
      <c r="D218" s="346" t="s">
        <v>156</v>
      </c>
      <c r="E218" s="346" t="s">
        <v>934</v>
      </c>
      <c r="F218" s="346" t="s">
        <v>148</v>
      </c>
      <c r="G218" s="343">
        <f>G219</f>
        <v>188.7</v>
      </c>
      <c r="H218" s="343">
        <f>H219</f>
        <v>131.5</v>
      </c>
      <c r="I218" s="343">
        <f t="shared" si="15"/>
        <v>69.687334393216744</v>
      </c>
    </row>
    <row r="219" spans="1:10" ht="31.5" x14ac:dyDescent="0.25">
      <c r="A219" s="345" t="s">
        <v>149</v>
      </c>
      <c r="B219" s="336">
        <v>903</v>
      </c>
      <c r="C219" s="346" t="s">
        <v>134</v>
      </c>
      <c r="D219" s="346" t="s">
        <v>156</v>
      </c>
      <c r="E219" s="346" t="s">
        <v>934</v>
      </c>
      <c r="F219" s="346" t="s">
        <v>150</v>
      </c>
      <c r="G219" s="343">
        <f>60+128.7</f>
        <v>188.7</v>
      </c>
      <c r="H219" s="343">
        <v>131.5</v>
      </c>
      <c r="I219" s="343">
        <f t="shared" si="15"/>
        <v>69.687334393216744</v>
      </c>
    </row>
    <row r="220" spans="1:10" s="218" customFormat="1" ht="31.5" hidden="1" x14ac:dyDescent="0.25">
      <c r="A220" s="35" t="s">
        <v>936</v>
      </c>
      <c r="B220" s="336">
        <v>903</v>
      </c>
      <c r="C220" s="338" t="s">
        <v>134</v>
      </c>
      <c r="D220" s="338" t="s">
        <v>156</v>
      </c>
      <c r="E220" s="338" t="s">
        <v>935</v>
      </c>
      <c r="F220" s="341"/>
      <c r="G220" s="343">
        <f>G221</f>
        <v>0</v>
      </c>
      <c r="H220" s="343">
        <f>H221</f>
        <v>0</v>
      </c>
      <c r="I220" s="343" t="e">
        <f t="shared" si="15"/>
        <v>#DIV/0!</v>
      </c>
      <c r="J220" s="332"/>
    </row>
    <row r="221" spans="1:10" s="218" customFormat="1" ht="31.5" hidden="1" x14ac:dyDescent="0.25">
      <c r="A221" s="342" t="s">
        <v>147</v>
      </c>
      <c r="B221" s="336">
        <v>903</v>
      </c>
      <c r="C221" s="338" t="s">
        <v>134</v>
      </c>
      <c r="D221" s="338" t="s">
        <v>156</v>
      </c>
      <c r="E221" s="338" t="s">
        <v>935</v>
      </c>
      <c r="F221" s="338" t="s">
        <v>148</v>
      </c>
      <c r="G221" s="343">
        <f>G222</f>
        <v>0</v>
      </c>
      <c r="H221" s="343">
        <f>H222</f>
        <v>0</v>
      </c>
      <c r="I221" s="343" t="e">
        <f t="shared" si="15"/>
        <v>#DIV/0!</v>
      </c>
      <c r="J221" s="332"/>
    </row>
    <row r="222" spans="1:10" s="218" customFormat="1" ht="31.5" hidden="1" x14ac:dyDescent="0.25">
      <c r="A222" s="342" t="s">
        <v>149</v>
      </c>
      <c r="B222" s="336">
        <v>903</v>
      </c>
      <c r="C222" s="338" t="s">
        <v>134</v>
      </c>
      <c r="D222" s="338" t="s">
        <v>156</v>
      </c>
      <c r="E222" s="338" t="s">
        <v>935</v>
      </c>
      <c r="F222" s="338" t="s">
        <v>150</v>
      </c>
      <c r="G222" s="343">
        <v>0</v>
      </c>
      <c r="H222" s="343">
        <v>0</v>
      </c>
      <c r="I222" s="343" t="e">
        <f t="shared" si="15"/>
        <v>#DIV/0!</v>
      </c>
      <c r="J222" s="332"/>
    </row>
    <row r="223" spans="1:10" ht="47.25" x14ac:dyDescent="0.25">
      <c r="A223" s="340" t="s">
        <v>350</v>
      </c>
      <c r="B223" s="337">
        <v>903</v>
      </c>
      <c r="C223" s="341" t="s">
        <v>134</v>
      </c>
      <c r="D223" s="341" t="s">
        <v>156</v>
      </c>
      <c r="E223" s="341" t="s">
        <v>351</v>
      </c>
      <c r="F223" s="341"/>
      <c r="G223" s="339">
        <f>G224</f>
        <v>55</v>
      </c>
      <c r="H223" s="339">
        <f>H224</f>
        <v>0</v>
      </c>
      <c r="I223" s="339">
        <f t="shared" si="15"/>
        <v>0</v>
      </c>
    </row>
    <row r="224" spans="1:10" s="218" customFormat="1" ht="31.5" x14ac:dyDescent="0.25">
      <c r="A224" s="340" t="s">
        <v>1225</v>
      </c>
      <c r="B224" s="337">
        <v>903</v>
      </c>
      <c r="C224" s="341" t="s">
        <v>134</v>
      </c>
      <c r="D224" s="341" t="s">
        <v>156</v>
      </c>
      <c r="E224" s="341" t="s">
        <v>1226</v>
      </c>
      <c r="F224" s="341"/>
      <c r="G224" s="339">
        <f>G225+G228+G231+G234+G237</f>
        <v>55</v>
      </c>
      <c r="H224" s="339">
        <f>H225+H228+H231+H234+H237</f>
        <v>0</v>
      </c>
      <c r="I224" s="339">
        <f t="shared" si="15"/>
        <v>0</v>
      </c>
      <c r="J224" s="332"/>
    </row>
    <row r="225" spans="1:9" ht="31.5" hidden="1" x14ac:dyDescent="0.25">
      <c r="A225" s="98" t="s">
        <v>352</v>
      </c>
      <c r="B225" s="336">
        <v>903</v>
      </c>
      <c r="C225" s="338" t="s">
        <v>134</v>
      </c>
      <c r="D225" s="338" t="s">
        <v>156</v>
      </c>
      <c r="E225" s="338" t="s">
        <v>1227</v>
      </c>
      <c r="F225" s="338"/>
      <c r="G225" s="343">
        <f>G226</f>
        <v>0</v>
      </c>
      <c r="H225" s="343">
        <f>H226</f>
        <v>0</v>
      </c>
      <c r="I225" s="343" t="e">
        <f t="shared" si="15"/>
        <v>#DIV/0!</v>
      </c>
    </row>
    <row r="226" spans="1:9" ht="31.5" hidden="1" x14ac:dyDescent="0.25">
      <c r="A226" s="342" t="s">
        <v>147</v>
      </c>
      <c r="B226" s="336">
        <v>903</v>
      </c>
      <c r="C226" s="338" t="s">
        <v>134</v>
      </c>
      <c r="D226" s="338" t="s">
        <v>156</v>
      </c>
      <c r="E226" s="338" t="s">
        <v>1227</v>
      </c>
      <c r="F226" s="338" t="s">
        <v>148</v>
      </c>
      <c r="G226" s="343">
        <f>G227</f>
        <v>0</v>
      </c>
      <c r="H226" s="343">
        <f>H227</f>
        <v>0</v>
      </c>
      <c r="I226" s="343" t="e">
        <f t="shared" si="15"/>
        <v>#DIV/0!</v>
      </c>
    </row>
    <row r="227" spans="1:9" ht="31.5" hidden="1" x14ac:dyDescent="0.25">
      <c r="A227" s="342" t="s">
        <v>149</v>
      </c>
      <c r="B227" s="336">
        <v>903</v>
      </c>
      <c r="C227" s="338" t="s">
        <v>134</v>
      </c>
      <c r="D227" s="338" t="s">
        <v>156</v>
      </c>
      <c r="E227" s="338" t="s">
        <v>1227</v>
      </c>
      <c r="F227" s="338" t="s">
        <v>150</v>
      </c>
      <c r="G227" s="343">
        <v>0</v>
      </c>
      <c r="H227" s="343">
        <v>0</v>
      </c>
      <c r="I227" s="343" t="e">
        <f t="shared" si="15"/>
        <v>#DIV/0!</v>
      </c>
    </row>
    <row r="228" spans="1:9" ht="15.75" x14ac:dyDescent="0.25">
      <c r="A228" s="342" t="s">
        <v>354</v>
      </c>
      <c r="B228" s="336">
        <v>903</v>
      </c>
      <c r="C228" s="338" t="s">
        <v>134</v>
      </c>
      <c r="D228" s="338" t="s">
        <v>156</v>
      </c>
      <c r="E228" s="338" t="s">
        <v>1228</v>
      </c>
      <c r="F228" s="338"/>
      <c r="G228" s="343">
        <f>G229</f>
        <v>25</v>
      </c>
      <c r="H228" s="343">
        <f>H229</f>
        <v>0</v>
      </c>
      <c r="I228" s="343">
        <f t="shared" si="15"/>
        <v>0</v>
      </c>
    </row>
    <row r="229" spans="1:9" ht="31.5" x14ac:dyDescent="0.25">
      <c r="A229" s="342" t="s">
        <v>147</v>
      </c>
      <c r="B229" s="336">
        <v>903</v>
      </c>
      <c r="C229" s="338" t="s">
        <v>134</v>
      </c>
      <c r="D229" s="338" t="s">
        <v>156</v>
      </c>
      <c r="E229" s="338" t="s">
        <v>1228</v>
      </c>
      <c r="F229" s="338" t="s">
        <v>148</v>
      </c>
      <c r="G229" s="343">
        <f>G230</f>
        <v>25</v>
      </c>
      <c r="H229" s="343">
        <f>H230</f>
        <v>0</v>
      </c>
      <c r="I229" s="343">
        <f t="shared" si="15"/>
        <v>0</v>
      </c>
    </row>
    <row r="230" spans="1:9" ht="31.5" x14ac:dyDescent="0.25">
      <c r="A230" s="342" t="s">
        <v>149</v>
      </c>
      <c r="B230" s="336">
        <v>903</v>
      </c>
      <c r="C230" s="338" t="s">
        <v>134</v>
      </c>
      <c r="D230" s="338" t="s">
        <v>156</v>
      </c>
      <c r="E230" s="338" t="s">
        <v>1228</v>
      </c>
      <c r="F230" s="338" t="s">
        <v>150</v>
      </c>
      <c r="G230" s="343">
        <v>25</v>
      </c>
      <c r="H230" s="343">
        <v>0</v>
      </c>
      <c r="I230" s="343">
        <f t="shared" si="15"/>
        <v>0</v>
      </c>
    </row>
    <row r="231" spans="1:9" ht="47.25" x14ac:dyDescent="0.25">
      <c r="A231" s="31" t="s">
        <v>794</v>
      </c>
      <c r="B231" s="336">
        <v>903</v>
      </c>
      <c r="C231" s="338" t="s">
        <v>134</v>
      </c>
      <c r="D231" s="338" t="s">
        <v>156</v>
      </c>
      <c r="E231" s="338" t="s">
        <v>1229</v>
      </c>
      <c r="F231" s="338"/>
      <c r="G231" s="343">
        <f>G232</f>
        <v>10</v>
      </c>
      <c r="H231" s="343">
        <f>H232</f>
        <v>0</v>
      </c>
      <c r="I231" s="343">
        <f t="shared" si="15"/>
        <v>0</v>
      </c>
    </row>
    <row r="232" spans="1:9" ht="31.5" x14ac:dyDescent="0.25">
      <c r="A232" s="342" t="s">
        <v>147</v>
      </c>
      <c r="B232" s="336">
        <v>903</v>
      </c>
      <c r="C232" s="338" t="s">
        <v>134</v>
      </c>
      <c r="D232" s="338" t="s">
        <v>156</v>
      </c>
      <c r="E232" s="338" t="s">
        <v>1229</v>
      </c>
      <c r="F232" s="338" t="s">
        <v>148</v>
      </c>
      <c r="G232" s="343">
        <f>G233</f>
        <v>10</v>
      </c>
      <c r="H232" s="343">
        <f>H233</f>
        <v>0</v>
      </c>
      <c r="I232" s="343">
        <f t="shared" si="15"/>
        <v>0</v>
      </c>
    </row>
    <row r="233" spans="1:9" ht="31.5" x14ac:dyDescent="0.25">
      <c r="A233" s="342" t="s">
        <v>149</v>
      </c>
      <c r="B233" s="336">
        <v>903</v>
      </c>
      <c r="C233" s="338" t="s">
        <v>134</v>
      </c>
      <c r="D233" s="338" t="s">
        <v>156</v>
      </c>
      <c r="E233" s="338" t="s">
        <v>1229</v>
      </c>
      <c r="F233" s="338" t="s">
        <v>150</v>
      </c>
      <c r="G233" s="343">
        <v>10</v>
      </c>
      <c r="H233" s="343">
        <v>0</v>
      </c>
      <c r="I233" s="343">
        <f t="shared" si="15"/>
        <v>0</v>
      </c>
    </row>
    <row r="234" spans="1:9" ht="15.75" hidden="1" x14ac:dyDescent="0.25">
      <c r="A234" s="342" t="s">
        <v>1144</v>
      </c>
      <c r="B234" s="336">
        <v>903</v>
      </c>
      <c r="C234" s="338" t="s">
        <v>134</v>
      </c>
      <c r="D234" s="338" t="s">
        <v>156</v>
      </c>
      <c r="E234" s="338" t="s">
        <v>1230</v>
      </c>
      <c r="F234" s="338"/>
      <c r="G234" s="343">
        <f>G235</f>
        <v>0</v>
      </c>
      <c r="H234" s="343">
        <f>H235</f>
        <v>0</v>
      </c>
      <c r="I234" s="343" t="e">
        <f t="shared" si="15"/>
        <v>#DIV/0!</v>
      </c>
    </row>
    <row r="235" spans="1:9" ht="31.5" hidden="1" x14ac:dyDescent="0.25">
      <c r="A235" s="342" t="s">
        <v>147</v>
      </c>
      <c r="B235" s="336">
        <v>903</v>
      </c>
      <c r="C235" s="338" t="s">
        <v>134</v>
      </c>
      <c r="D235" s="338" t="s">
        <v>156</v>
      </c>
      <c r="E235" s="338" t="s">
        <v>1230</v>
      </c>
      <c r="F235" s="338" t="s">
        <v>148</v>
      </c>
      <c r="G235" s="343">
        <f>G236</f>
        <v>0</v>
      </c>
      <c r="H235" s="343">
        <f>H236</f>
        <v>0</v>
      </c>
      <c r="I235" s="343" t="e">
        <f t="shared" si="15"/>
        <v>#DIV/0!</v>
      </c>
    </row>
    <row r="236" spans="1:9" ht="31.5" hidden="1" x14ac:dyDescent="0.25">
      <c r="A236" s="342" t="s">
        <v>149</v>
      </c>
      <c r="B236" s="336">
        <v>903</v>
      </c>
      <c r="C236" s="338" t="s">
        <v>134</v>
      </c>
      <c r="D236" s="338" t="s">
        <v>156</v>
      </c>
      <c r="E236" s="338" t="s">
        <v>1230</v>
      </c>
      <c r="F236" s="338" t="s">
        <v>150</v>
      </c>
      <c r="G236" s="343">
        <v>0</v>
      </c>
      <c r="H236" s="343">
        <v>0</v>
      </c>
      <c r="I236" s="343" t="e">
        <f t="shared" si="15"/>
        <v>#DIV/0!</v>
      </c>
    </row>
    <row r="237" spans="1:9" ht="47.25" customHeight="1" x14ac:dyDescent="0.25">
      <c r="A237" s="31" t="s">
        <v>795</v>
      </c>
      <c r="B237" s="336">
        <v>903</v>
      </c>
      <c r="C237" s="338" t="s">
        <v>134</v>
      </c>
      <c r="D237" s="338" t="s">
        <v>156</v>
      </c>
      <c r="E237" s="338" t="s">
        <v>1231</v>
      </c>
      <c r="F237" s="338"/>
      <c r="G237" s="343">
        <f>G238</f>
        <v>20</v>
      </c>
      <c r="H237" s="343">
        <f>H238</f>
        <v>0</v>
      </c>
      <c r="I237" s="343">
        <f t="shared" si="15"/>
        <v>0</v>
      </c>
    </row>
    <row r="238" spans="1:9" ht="31.5" x14ac:dyDescent="0.25">
      <c r="A238" s="342" t="s">
        <v>147</v>
      </c>
      <c r="B238" s="336">
        <v>903</v>
      </c>
      <c r="C238" s="338" t="s">
        <v>134</v>
      </c>
      <c r="D238" s="338" t="s">
        <v>156</v>
      </c>
      <c r="E238" s="338" t="s">
        <v>1231</v>
      </c>
      <c r="F238" s="338" t="s">
        <v>148</v>
      </c>
      <c r="G238" s="343">
        <f>G239</f>
        <v>20</v>
      </c>
      <c r="H238" s="343">
        <f>H239</f>
        <v>0</v>
      </c>
      <c r="I238" s="343">
        <f t="shared" si="15"/>
        <v>0</v>
      </c>
    </row>
    <row r="239" spans="1:9" ht="31.5" x14ac:dyDescent="0.25">
      <c r="A239" s="342" t="s">
        <v>149</v>
      </c>
      <c r="B239" s="336">
        <v>903</v>
      </c>
      <c r="C239" s="338" t="s">
        <v>134</v>
      </c>
      <c r="D239" s="338" t="s">
        <v>156</v>
      </c>
      <c r="E239" s="338" t="s">
        <v>1231</v>
      </c>
      <c r="F239" s="338" t="s">
        <v>150</v>
      </c>
      <c r="G239" s="343">
        <v>20</v>
      </c>
      <c r="H239" s="343"/>
      <c r="I239" s="343">
        <f t="shared" si="15"/>
        <v>0</v>
      </c>
    </row>
    <row r="240" spans="1:9" ht="47.25" x14ac:dyDescent="0.25">
      <c r="A240" s="41" t="s">
        <v>1179</v>
      </c>
      <c r="B240" s="337">
        <v>903</v>
      </c>
      <c r="C240" s="341" t="s">
        <v>134</v>
      </c>
      <c r="D240" s="341" t="s">
        <v>156</v>
      </c>
      <c r="E240" s="341" t="s">
        <v>728</v>
      </c>
      <c r="F240" s="341"/>
      <c r="G240" s="339">
        <f>G242</f>
        <v>5</v>
      </c>
      <c r="H240" s="339">
        <f>H242</f>
        <v>0</v>
      </c>
      <c r="I240" s="339">
        <f t="shared" si="15"/>
        <v>0</v>
      </c>
    </row>
    <row r="241" spans="1:10" s="218" customFormat="1" ht="44.45" customHeight="1" x14ac:dyDescent="0.25">
      <c r="A241" s="223" t="s">
        <v>892</v>
      </c>
      <c r="B241" s="337">
        <v>903</v>
      </c>
      <c r="C241" s="341" t="s">
        <v>134</v>
      </c>
      <c r="D241" s="341" t="s">
        <v>156</v>
      </c>
      <c r="E241" s="341" t="s">
        <v>898</v>
      </c>
      <c r="F241" s="341"/>
      <c r="G241" s="339">
        <f t="shared" ref="G241:H243" si="16">G242</f>
        <v>5</v>
      </c>
      <c r="H241" s="339">
        <f t="shared" si="16"/>
        <v>0</v>
      </c>
      <c r="I241" s="339">
        <f t="shared" si="15"/>
        <v>0</v>
      </c>
      <c r="J241" s="332"/>
    </row>
    <row r="242" spans="1:10" ht="31.5" x14ac:dyDescent="0.25">
      <c r="A242" s="99" t="s">
        <v>799</v>
      </c>
      <c r="B242" s="336">
        <v>903</v>
      </c>
      <c r="C242" s="338" t="s">
        <v>134</v>
      </c>
      <c r="D242" s="338" t="s">
        <v>156</v>
      </c>
      <c r="E242" s="338" t="s">
        <v>893</v>
      </c>
      <c r="F242" s="338"/>
      <c r="G242" s="343">
        <f t="shared" si="16"/>
        <v>5</v>
      </c>
      <c r="H242" s="343">
        <f t="shared" si="16"/>
        <v>0</v>
      </c>
      <c r="I242" s="343">
        <f t="shared" si="15"/>
        <v>0</v>
      </c>
    </row>
    <row r="243" spans="1:10" ht="31.5" x14ac:dyDescent="0.25">
      <c r="A243" s="342" t="s">
        <v>147</v>
      </c>
      <c r="B243" s="336">
        <v>903</v>
      </c>
      <c r="C243" s="338" t="s">
        <v>134</v>
      </c>
      <c r="D243" s="338" t="s">
        <v>156</v>
      </c>
      <c r="E243" s="338" t="s">
        <v>893</v>
      </c>
      <c r="F243" s="338" t="s">
        <v>148</v>
      </c>
      <c r="G243" s="343">
        <f t="shared" si="16"/>
        <v>5</v>
      </c>
      <c r="H243" s="343">
        <f t="shared" si="16"/>
        <v>0</v>
      </c>
      <c r="I243" s="343">
        <f t="shared" si="15"/>
        <v>0</v>
      </c>
    </row>
    <row r="244" spans="1:10" ht="31.5" x14ac:dyDescent="0.25">
      <c r="A244" s="342" t="s">
        <v>149</v>
      </c>
      <c r="B244" s="336">
        <v>903</v>
      </c>
      <c r="C244" s="338" t="s">
        <v>134</v>
      </c>
      <c r="D244" s="338" t="s">
        <v>156</v>
      </c>
      <c r="E244" s="338" t="s">
        <v>893</v>
      </c>
      <c r="F244" s="338" t="s">
        <v>150</v>
      </c>
      <c r="G244" s="343">
        <v>5</v>
      </c>
      <c r="H244" s="343">
        <v>0</v>
      </c>
      <c r="I244" s="343">
        <f t="shared" si="15"/>
        <v>0</v>
      </c>
    </row>
    <row r="245" spans="1:10" ht="21.2" customHeight="1" x14ac:dyDescent="0.25">
      <c r="A245" s="229" t="s">
        <v>248</v>
      </c>
      <c r="B245" s="337">
        <v>903</v>
      </c>
      <c r="C245" s="341" t="s">
        <v>166</v>
      </c>
      <c r="D245" s="338"/>
      <c r="E245" s="338"/>
      <c r="F245" s="32"/>
      <c r="G245" s="339">
        <f t="shared" ref="G245:H247" si="17">G246</f>
        <v>270</v>
      </c>
      <c r="H245" s="339">
        <f t="shared" si="17"/>
        <v>0</v>
      </c>
      <c r="I245" s="339">
        <f t="shared" si="15"/>
        <v>0</v>
      </c>
    </row>
    <row r="246" spans="1:10" ht="21.2" customHeight="1" x14ac:dyDescent="0.25">
      <c r="A246" s="340" t="s">
        <v>253</v>
      </c>
      <c r="B246" s="337">
        <v>903</v>
      </c>
      <c r="C246" s="341" t="s">
        <v>166</v>
      </c>
      <c r="D246" s="341" t="s">
        <v>254</v>
      </c>
      <c r="E246" s="338"/>
      <c r="F246" s="32"/>
      <c r="G246" s="339">
        <f t="shared" si="17"/>
        <v>270</v>
      </c>
      <c r="H246" s="339">
        <f t="shared" si="17"/>
        <v>0</v>
      </c>
      <c r="I246" s="339">
        <f t="shared" si="15"/>
        <v>0</v>
      </c>
    </row>
    <row r="247" spans="1:10" ht="47.25" customHeight="1" x14ac:dyDescent="0.25">
      <c r="A247" s="340" t="s">
        <v>359</v>
      </c>
      <c r="B247" s="337">
        <v>903</v>
      </c>
      <c r="C247" s="341" t="s">
        <v>166</v>
      </c>
      <c r="D247" s="341" t="s">
        <v>254</v>
      </c>
      <c r="E247" s="341" t="s">
        <v>360</v>
      </c>
      <c r="F247" s="235"/>
      <c r="G247" s="339">
        <f t="shared" si="17"/>
        <v>270</v>
      </c>
      <c r="H247" s="339">
        <f t="shared" si="17"/>
        <v>0</v>
      </c>
      <c r="I247" s="339">
        <f t="shared" si="15"/>
        <v>0</v>
      </c>
    </row>
    <row r="248" spans="1:10" ht="53.45" customHeight="1" x14ac:dyDescent="0.25">
      <c r="A248" s="340" t="s">
        <v>383</v>
      </c>
      <c r="B248" s="337">
        <v>903</v>
      </c>
      <c r="C248" s="341" t="s">
        <v>166</v>
      </c>
      <c r="D248" s="341" t="s">
        <v>254</v>
      </c>
      <c r="E248" s="341" t="s">
        <v>384</v>
      </c>
      <c r="F248" s="341"/>
      <c r="G248" s="339">
        <f>G249+G256+G263+G270</f>
        <v>270</v>
      </c>
      <c r="H248" s="339">
        <f>H249+H256+H263+H270</f>
        <v>0</v>
      </c>
      <c r="I248" s="339">
        <f t="shared" si="15"/>
        <v>0</v>
      </c>
    </row>
    <row r="249" spans="1:10" s="218" customFormat="1" ht="33" hidden="1" customHeight="1" x14ac:dyDescent="0.25">
      <c r="A249" s="227" t="s">
        <v>1211</v>
      </c>
      <c r="B249" s="337">
        <v>903</v>
      </c>
      <c r="C249" s="341" t="s">
        <v>166</v>
      </c>
      <c r="D249" s="341" t="s">
        <v>254</v>
      </c>
      <c r="E249" s="341" t="s">
        <v>937</v>
      </c>
      <c r="F249" s="341"/>
      <c r="G249" s="339">
        <f>G250+G253</f>
        <v>0</v>
      </c>
      <c r="H249" s="339">
        <f>H250+H253</f>
        <v>0</v>
      </c>
      <c r="I249" s="339" t="e">
        <f t="shared" si="15"/>
        <v>#DIV/0!</v>
      </c>
      <c r="J249" s="332"/>
    </row>
    <row r="250" spans="1:10" ht="47.25" hidden="1" customHeight="1" x14ac:dyDescent="0.25">
      <c r="A250" s="342" t="s">
        <v>1297</v>
      </c>
      <c r="B250" s="336">
        <v>903</v>
      </c>
      <c r="C250" s="338" t="s">
        <v>166</v>
      </c>
      <c r="D250" s="338" t="s">
        <v>254</v>
      </c>
      <c r="E250" s="338" t="s">
        <v>1212</v>
      </c>
      <c r="F250" s="338"/>
      <c r="G250" s="343">
        <f>G251</f>
        <v>0</v>
      </c>
      <c r="H250" s="343">
        <f>H251</f>
        <v>0</v>
      </c>
      <c r="I250" s="339" t="e">
        <f t="shared" si="15"/>
        <v>#DIV/0!</v>
      </c>
    </row>
    <row r="251" spans="1:10" ht="21.2" hidden="1" customHeight="1" x14ac:dyDescent="0.25">
      <c r="A251" s="342" t="s">
        <v>264</v>
      </c>
      <c r="B251" s="336">
        <v>903</v>
      </c>
      <c r="C251" s="338" t="s">
        <v>166</v>
      </c>
      <c r="D251" s="338" t="s">
        <v>254</v>
      </c>
      <c r="E251" s="338" t="s">
        <v>1212</v>
      </c>
      <c r="F251" s="338" t="s">
        <v>265</v>
      </c>
      <c r="G251" s="343">
        <f>G252</f>
        <v>0</v>
      </c>
      <c r="H251" s="343">
        <f>H252</f>
        <v>0</v>
      </c>
      <c r="I251" s="339" t="e">
        <f t="shared" si="15"/>
        <v>#DIV/0!</v>
      </c>
    </row>
    <row r="252" spans="1:10" ht="29.25" hidden="1" customHeight="1" x14ac:dyDescent="0.25">
      <c r="A252" s="342" t="s">
        <v>266</v>
      </c>
      <c r="B252" s="336">
        <v>903</v>
      </c>
      <c r="C252" s="338" t="s">
        <v>166</v>
      </c>
      <c r="D252" s="338" t="s">
        <v>254</v>
      </c>
      <c r="E252" s="338" t="s">
        <v>1212</v>
      </c>
      <c r="F252" s="338" t="s">
        <v>267</v>
      </c>
      <c r="G252" s="343">
        <v>0</v>
      </c>
      <c r="H252" s="343">
        <v>0</v>
      </c>
      <c r="I252" s="339" t="e">
        <f t="shared" si="15"/>
        <v>#DIV/0!</v>
      </c>
    </row>
    <row r="253" spans="1:10" s="218" customFormat="1" ht="50.25" hidden="1" customHeight="1" x14ac:dyDescent="0.25">
      <c r="A253" s="342" t="s">
        <v>391</v>
      </c>
      <c r="B253" s="336">
        <v>903</v>
      </c>
      <c r="C253" s="338" t="s">
        <v>166</v>
      </c>
      <c r="D253" s="338" t="s">
        <v>254</v>
      </c>
      <c r="E253" s="338" t="s">
        <v>1213</v>
      </c>
      <c r="F253" s="338"/>
      <c r="G253" s="343">
        <f>G254</f>
        <v>0</v>
      </c>
      <c r="H253" s="343">
        <f>H254</f>
        <v>0</v>
      </c>
      <c r="I253" s="339" t="e">
        <f t="shared" si="15"/>
        <v>#DIV/0!</v>
      </c>
      <c r="J253" s="332"/>
    </row>
    <row r="254" spans="1:10" s="218" customFormat="1" ht="21.75" hidden="1" customHeight="1" x14ac:dyDescent="0.25">
      <c r="A254" s="342" t="s">
        <v>264</v>
      </c>
      <c r="B254" s="336">
        <v>903</v>
      </c>
      <c r="C254" s="338" t="s">
        <v>166</v>
      </c>
      <c r="D254" s="338" t="s">
        <v>254</v>
      </c>
      <c r="E254" s="338" t="s">
        <v>1213</v>
      </c>
      <c r="F254" s="338" t="s">
        <v>265</v>
      </c>
      <c r="G254" s="343">
        <f>G255</f>
        <v>0</v>
      </c>
      <c r="H254" s="343">
        <f>H255</f>
        <v>0</v>
      </c>
      <c r="I254" s="339" t="e">
        <f t="shared" si="15"/>
        <v>#DIV/0!</v>
      </c>
      <c r="J254" s="332"/>
    </row>
    <row r="255" spans="1:10" s="218" customFormat="1" ht="29.25" hidden="1" customHeight="1" x14ac:dyDescent="0.25">
      <c r="A255" s="342" t="s">
        <v>266</v>
      </c>
      <c r="B255" s="336">
        <v>903</v>
      </c>
      <c r="C255" s="338" t="s">
        <v>166</v>
      </c>
      <c r="D255" s="338" t="s">
        <v>254</v>
      </c>
      <c r="E255" s="338" t="s">
        <v>1213</v>
      </c>
      <c r="F255" s="338" t="s">
        <v>267</v>
      </c>
      <c r="G255" s="343">
        <v>0</v>
      </c>
      <c r="H255" s="343">
        <v>0</v>
      </c>
      <c r="I255" s="339" t="e">
        <f t="shared" si="15"/>
        <v>#DIV/0!</v>
      </c>
      <c r="J255" s="332"/>
    </row>
    <row r="256" spans="1:10" s="218" customFormat="1" ht="33" customHeight="1" x14ac:dyDescent="0.25">
      <c r="A256" s="340" t="s">
        <v>1209</v>
      </c>
      <c r="B256" s="337">
        <v>903</v>
      </c>
      <c r="C256" s="341" t="s">
        <v>166</v>
      </c>
      <c r="D256" s="341" t="s">
        <v>254</v>
      </c>
      <c r="E256" s="341" t="s">
        <v>938</v>
      </c>
      <c r="F256" s="341"/>
      <c r="G256" s="339">
        <f>G257+G260</f>
        <v>260</v>
      </c>
      <c r="H256" s="339">
        <f>H257+H260</f>
        <v>0</v>
      </c>
      <c r="I256" s="339">
        <f t="shared" si="15"/>
        <v>0</v>
      </c>
      <c r="J256" s="332"/>
    </row>
    <row r="257" spans="1:10" s="218" customFormat="1" ht="18" customHeight="1" x14ac:dyDescent="0.25">
      <c r="A257" s="342" t="s">
        <v>1210</v>
      </c>
      <c r="B257" s="336">
        <v>903</v>
      </c>
      <c r="C257" s="338" t="s">
        <v>166</v>
      </c>
      <c r="D257" s="338" t="s">
        <v>254</v>
      </c>
      <c r="E257" s="338" t="s">
        <v>1214</v>
      </c>
      <c r="F257" s="338"/>
      <c r="G257" s="343">
        <f>G258</f>
        <v>60</v>
      </c>
      <c r="H257" s="343">
        <f>H258</f>
        <v>0</v>
      </c>
      <c r="I257" s="343">
        <f t="shared" si="15"/>
        <v>0</v>
      </c>
      <c r="J257" s="332"/>
    </row>
    <row r="258" spans="1:10" s="218" customFormat="1" ht="39.200000000000003" customHeight="1" x14ac:dyDescent="0.25">
      <c r="A258" s="342" t="s">
        <v>288</v>
      </c>
      <c r="B258" s="336">
        <v>903</v>
      </c>
      <c r="C258" s="338" t="s">
        <v>166</v>
      </c>
      <c r="D258" s="338" t="s">
        <v>254</v>
      </c>
      <c r="E258" s="338" t="s">
        <v>1214</v>
      </c>
      <c r="F258" s="338" t="s">
        <v>289</v>
      </c>
      <c r="G258" s="343">
        <f>G259</f>
        <v>60</v>
      </c>
      <c r="H258" s="343">
        <f>H259</f>
        <v>0</v>
      </c>
      <c r="I258" s="343">
        <f t="shared" si="15"/>
        <v>0</v>
      </c>
      <c r="J258" s="332"/>
    </row>
    <row r="259" spans="1:10" s="218" customFormat="1" ht="73.5" customHeight="1" x14ac:dyDescent="0.25">
      <c r="A259" s="342" t="s">
        <v>1291</v>
      </c>
      <c r="B259" s="336">
        <v>903</v>
      </c>
      <c r="C259" s="338" t="s">
        <v>166</v>
      </c>
      <c r="D259" s="338" t="s">
        <v>254</v>
      </c>
      <c r="E259" s="338" t="s">
        <v>1214</v>
      </c>
      <c r="F259" s="338" t="s">
        <v>388</v>
      </c>
      <c r="G259" s="343">
        <v>60</v>
      </c>
      <c r="H259" s="343">
        <v>0</v>
      </c>
      <c r="I259" s="343">
        <f t="shared" si="15"/>
        <v>0</v>
      </c>
      <c r="J259" s="332"/>
    </row>
    <row r="260" spans="1:10" s="218" customFormat="1" ht="93.2" customHeight="1" x14ac:dyDescent="0.25">
      <c r="A260" s="342" t="s">
        <v>389</v>
      </c>
      <c r="B260" s="336">
        <v>903</v>
      </c>
      <c r="C260" s="338" t="s">
        <v>166</v>
      </c>
      <c r="D260" s="338" t="s">
        <v>254</v>
      </c>
      <c r="E260" s="338" t="s">
        <v>1215</v>
      </c>
      <c r="F260" s="338"/>
      <c r="G260" s="343">
        <f>G261</f>
        <v>200</v>
      </c>
      <c r="H260" s="343">
        <f>H261</f>
        <v>0</v>
      </c>
      <c r="I260" s="343">
        <f t="shared" si="15"/>
        <v>0</v>
      </c>
      <c r="J260" s="332"/>
    </row>
    <row r="261" spans="1:10" s="218" customFormat="1" ht="39.75" customHeight="1" x14ac:dyDescent="0.25">
      <c r="A261" s="342" t="s">
        <v>288</v>
      </c>
      <c r="B261" s="336">
        <v>903</v>
      </c>
      <c r="C261" s="338" t="s">
        <v>166</v>
      </c>
      <c r="D261" s="338" t="s">
        <v>254</v>
      </c>
      <c r="E261" s="338" t="s">
        <v>1215</v>
      </c>
      <c r="F261" s="338" t="s">
        <v>289</v>
      </c>
      <c r="G261" s="343">
        <f>G262</f>
        <v>200</v>
      </c>
      <c r="H261" s="343">
        <f>H262</f>
        <v>0</v>
      </c>
      <c r="I261" s="343">
        <f t="shared" si="15"/>
        <v>0</v>
      </c>
      <c r="J261" s="332"/>
    </row>
    <row r="262" spans="1:10" s="218" customFormat="1" ht="61.5" customHeight="1" x14ac:dyDescent="0.25">
      <c r="A262" s="342" t="s">
        <v>1291</v>
      </c>
      <c r="B262" s="336">
        <v>903</v>
      </c>
      <c r="C262" s="338" t="s">
        <v>166</v>
      </c>
      <c r="D262" s="338" t="s">
        <v>254</v>
      </c>
      <c r="E262" s="338" t="s">
        <v>1215</v>
      </c>
      <c r="F262" s="338" t="s">
        <v>388</v>
      </c>
      <c r="G262" s="343">
        <f>500-300</f>
        <v>200</v>
      </c>
      <c r="H262" s="343">
        <v>0</v>
      </c>
      <c r="I262" s="343">
        <f t="shared" si="15"/>
        <v>0</v>
      </c>
      <c r="J262" s="332"/>
    </row>
    <row r="263" spans="1:10" s="218" customFormat="1" ht="21.2" hidden="1" customHeight="1" x14ac:dyDescent="0.25">
      <c r="A263" s="340" t="s">
        <v>1145</v>
      </c>
      <c r="B263" s="337">
        <v>903</v>
      </c>
      <c r="C263" s="341" t="s">
        <v>166</v>
      </c>
      <c r="D263" s="341" t="s">
        <v>254</v>
      </c>
      <c r="E263" s="341" t="s">
        <v>939</v>
      </c>
      <c r="F263" s="341"/>
      <c r="G263" s="339">
        <f>G264+G267</f>
        <v>0</v>
      </c>
      <c r="H263" s="339">
        <f>H264+H267</f>
        <v>0</v>
      </c>
      <c r="I263" s="343" t="e">
        <f t="shared" si="15"/>
        <v>#DIV/0!</v>
      </c>
      <c r="J263" s="332"/>
    </row>
    <row r="264" spans="1:10" s="218" customFormat="1" ht="41.25" hidden="1" customHeight="1" x14ac:dyDescent="0.25">
      <c r="A264" s="270" t="s">
        <v>1218</v>
      </c>
      <c r="B264" s="336">
        <v>903</v>
      </c>
      <c r="C264" s="338" t="s">
        <v>166</v>
      </c>
      <c r="D264" s="338" t="s">
        <v>254</v>
      </c>
      <c r="E264" s="338" t="s">
        <v>1216</v>
      </c>
      <c r="F264" s="338"/>
      <c r="G264" s="343">
        <f>G265</f>
        <v>0</v>
      </c>
      <c r="H264" s="343">
        <f>H265</f>
        <v>0</v>
      </c>
      <c r="I264" s="343" t="e">
        <f t="shared" si="15"/>
        <v>#DIV/0!</v>
      </c>
      <c r="J264" s="332"/>
    </row>
    <row r="265" spans="1:10" s="218" customFormat="1" ht="29.25" hidden="1" customHeight="1" x14ac:dyDescent="0.25">
      <c r="A265" s="342" t="s">
        <v>147</v>
      </c>
      <c r="B265" s="336">
        <v>903</v>
      </c>
      <c r="C265" s="338" t="s">
        <v>166</v>
      </c>
      <c r="D265" s="338" t="s">
        <v>254</v>
      </c>
      <c r="E265" s="338" t="s">
        <v>1216</v>
      </c>
      <c r="F265" s="338" t="s">
        <v>148</v>
      </c>
      <c r="G265" s="343">
        <f>G266</f>
        <v>0</v>
      </c>
      <c r="H265" s="343">
        <f>H266</f>
        <v>0</v>
      </c>
      <c r="I265" s="343" t="e">
        <f t="shared" si="15"/>
        <v>#DIV/0!</v>
      </c>
      <c r="J265" s="332"/>
    </row>
    <row r="266" spans="1:10" s="218" customFormat="1" ht="29.25" hidden="1" customHeight="1" x14ac:dyDescent="0.25">
      <c r="A266" s="342" t="s">
        <v>149</v>
      </c>
      <c r="B266" s="336">
        <v>903</v>
      </c>
      <c r="C266" s="338" t="s">
        <v>166</v>
      </c>
      <c r="D266" s="338" t="s">
        <v>254</v>
      </c>
      <c r="E266" s="338" t="s">
        <v>1216</v>
      </c>
      <c r="F266" s="338" t="s">
        <v>150</v>
      </c>
      <c r="G266" s="343">
        <v>0</v>
      </c>
      <c r="H266" s="343">
        <v>0</v>
      </c>
      <c r="I266" s="343" t="e">
        <f t="shared" si="15"/>
        <v>#DIV/0!</v>
      </c>
      <c r="J266" s="332"/>
    </row>
    <row r="267" spans="1:10" s="218" customFormat="1" ht="29.25" hidden="1" customHeight="1" x14ac:dyDescent="0.25">
      <c r="A267" s="342" t="s">
        <v>393</v>
      </c>
      <c r="B267" s="336">
        <v>903</v>
      </c>
      <c r="C267" s="338" t="s">
        <v>166</v>
      </c>
      <c r="D267" s="338" t="s">
        <v>254</v>
      </c>
      <c r="E267" s="338" t="s">
        <v>1217</v>
      </c>
      <c r="F267" s="338"/>
      <c r="G267" s="343">
        <f>G268</f>
        <v>0</v>
      </c>
      <c r="H267" s="343">
        <f>H268</f>
        <v>0</v>
      </c>
      <c r="I267" s="343" t="e">
        <f t="shared" ref="I267:I330" si="18">H267/G267*100</f>
        <v>#DIV/0!</v>
      </c>
      <c r="J267" s="332"/>
    </row>
    <row r="268" spans="1:10" s="218" customFormat="1" ht="29.25" hidden="1" customHeight="1" x14ac:dyDescent="0.25">
      <c r="A268" s="342" t="s">
        <v>147</v>
      </c>
      <c r="B268" s="336">
        <v>903</v>
      </c>
      <c r="C268" s="338" t="s">
        <v>166</v>
      </c>
      <c r="D268" s="338" t="s">
        <v>254</v>
      </c>
      <c r="E268" s="338" t="s">
        <v>1217</v>
      </c>
      <c r="F268" s="338" t="s">
        <v>148</v>
      </c>
      <c r="G268" s="343">
        <f>G269</f>
        <v>0</v>
      </c>
      <c r="H268" s="343">
        <f>H269</f>
        <v>0</v>
      </c>
      <c r="I268" s="343" t="e">
        <f t="shared" si="18"/>
        <v>#DIV/0!</v>
      </c>
      <c r="J268" s="332"/>
    </row>
    <row r="269" spans="1:10" s="218" customFormat="1" ht="29.25" hidden="1" customHeight="1" x14ac:dyDescent="0.25">
      <c r="A269" s="342" t="s">
        <v>149</v>
      </c>
      <c r="B269" s="336">
        <v>903</v>
      </c>
      <c r="C269" s="338" t="s">
        <v>166</v>
      </c>
      <c r="D269" s="338" t="s">
        <v>254</v>
      </c>
      <c r="E269" s="338" t="s">
        <v>1217</v>
      </c>
      <c r="F269" s="338" t="s">
        <v>150</v>
      </c>
      <c r="G269" s="343">
        <v>0</v>
      </c>
      <c r="H269" s="343">
        <v>0</v>
      </c>
      <c r="I269" s="343" t="e">
        <f t="shared" si="18"/>
        <v>#DIV/0!</v>
      </c>
      <c r="J269" s="332"/>
    </row>
    <row r="270" spans="1:10" s="218" customFormat="1" ht="33.75" customHeight="1" x14ac:dyDescent="0.25">
      <c r="A270" s="224" t="s">
        <v>1309</v>
      </c>
      <c r="B270" s="337">
        <v>903</v>
      </c>
      <c r="C270" s="341" t="s">
        <v>166</v>
      </c>
      <c r="D270" s="341" t="s">
        <v>254</v>
      </c>
      <c r="E270" s="341" t="s">
        <v>1308</v>
      </c>
      <c r="F270" s="341"/>
      <c r="G270" s="339">
        <f t="shared" ref="G270:H272" si="19">G271</f>
        <v>10</v>
      </c>
      <c r="H270" s="339">
        <f t="shared" si="19"/>
        <v>0</v>
      </c>
      <c r="I270" s="343">
        <f t="shared" si="18"/>
        <v>0</v>
      </c>
      <c r="J270" s="332"/>
    </row>
    <row r="271" spans="1:10" s="218" customFormat="1" ht="29.25" customHeight="1" x14ac:dyDescent="0.25">
      <c r="A271" s="248" t="s">
        <v>1370</v>
      </c>
      <c r="B271" s="336">
        <v>903</v>
      </c>
      <c r="C271" s="338" t="s">
        <v>166</v>
      </c>
      <c r="D271" s="338" t="s">
        <v>254</v>
      </c>
      <c r="E271" s="338" t="s">
        <v>1360</v>
      </c>
      <c r="F271" s="338"/>
      <c r="G271" s="343">
        <f t="shared" si="19"/>
        <v>10</v>
      </c>
      <c r="H271" s="343">
        <f t="shared" si="19"/>
        <v>0</v>
      </c>
      <c r="I271" s="343">
        <f t="shared" si="18"/>
        <v>0</v>
      </c>
      <c r="J271" s="332"/>
    </row>
    <row r="272" spans="1:10" s="218" customFormat="1" ht="29.25" customHeight="1" x14ac:dyDescent="0.25">
      <c r="A272" s="342" t="s">
        <v>147</v>
      </c>
      <c r="B272" s="336">
        <v>903</v>
      </c>
      <c r="C272" s="338" t="s">
        <v>166</v>
      </c>
      <c r="D272" s="338" t="s">
        <v>254</v>
      </c>
      <c r="E272" s="338" t="s">
        <v>1360</v>
      </c>
      <c r="F272" s="338" t="s">
        <v>148</v>
      </c>
      <c r="G272" s="343">
        <f t="shared" si="19"/>
        <v>10</v>
      </c>
      <c r="H272" s="343">
        <f t="shared" si="19"/>
        <v>0</v>
      </c>
      <c r="I272" s="343">
        <f t="shared" si="18"/>
        <v>0</v>
      </c>
      <c r="J272" s="332"/>
    </row>
    <row r="273" spans="1:10" s="218" customFormat="1" ht="29.25" customHeight="1" x14ac:dyDescent="0.25">
      <c r="A273" s="342" t="s">
        <v>149</v>
      </c>
      <c r="B273" s="336">
        <v>903</v>
      </c>
      <c r="C273" s="338" t="s">
        <v>166</v>
      </c>
      <c r="D273" s="338" t="s">
        <v>254</v>
      </c>
      <c r="E273" s="338" t="s">
        <v>1360</v>
      </c>
      <c r="F273" s="338" t="s">
        <v>150</v>
      </c>
      <c r="G273" s="343">
        <v>10</v>
      </c>
      <c r="H273" s="343">
        <v>0</v>
      </c>
      <c r="I273" s="343">
        <f t="shared" si="18"/>
        <v>0</v>
      </c>
      <c r="J273" s="332"/>
    </row>
    <row r="274" spans="1:10" ht="15.75" x14ac:dyDescent="0.25">
      <c r="A274" s="340" t="s">
        <v>279</v>
      </c>
      <c r="B274" s="337">
        <v>903</v>
      </c>
      <c r="C274" s="341" t="s">
        <v>280</v>
      </c>
      <c r="D274" s="338"/>
      <c r="E274" s="338"/>
      <c r="F274" s="338"/>
      <c r="G274" s="339">
        <f>G275+G318</f>
        <v>18161.100000000002</v>
      </c>
      <c r="H274" s="339">
        <f>H275+H318</f>
        <v>9193.2999999999993</v>
      </c>
      <c r="I274" s="339">
        <f t="shared" si="18"/>
        <v>50.620832438563731</v>
      </c>
    </row>
    <row r="275" spans="1:10" ht="15.75" x14ac:dyDescent="0.25">
      <c r="A275" s="340" t="s">
        <v>281</v>
      </c>
      <c r="B275" s="337">
        <v>903</v>
      </c>
      <c r="C275" s="341" t="s">
        <v>280</v>
      </c>
      <c r="D275" s="341" t="s">
        <v>231</v>
      </c>
      <c r="E275" s="341"/>
      <c r="F275" s="341"/>
      <c r="G275" s="339">
        <f>G276+G313</f>
        <v>17401.100000000002</v>
      </c>
      <c r="H275" s="339">
        <f>H276+H313</f>
        <v>9050.5999999999985</v>
      </c>
      <c r="I275" s="339">
        <f t="shared" si="18"/>
        <v>52.011654435639109</v>
      </c>
    </row>
    <row r="276" spans="1:10" ht="31.5" x14ac:dyDescent="0.25">
      <c r="A276" s="340" t="s">
        <v>282</v>
      </c>
      <c r="B276" s="337">
        <v>903</v>
      </c>
      <c r="C276" s="341" t="s">
        <v>280</v>
      </c>
      <c r="D276" s="341" t="s">
        <v>231</v>
      </c>
      <c r="E276" s="341" t="s">
        <v>283</v>
      </c>
      <c r="F276" s="341"/>
      <c r="G276" s="339">
        <f>G277</f>
        <v>17073.7</v>
      </c>
      <c r="H276" s="339">
        <f>H277</f>
        <v>8920.2999999999993</v>
      </c>
      <c r="I276" s="339">
        <f t="shared" si="18"/>
        <v>52.245851807165401</v>
      </c>
    </row>
    <row r="277" spans="1:10" ht="47.25" x14ac:dyDescent="0.25">
      <c r="A277" s="340" t="s">
        <v>284</v>
      </c>
      <c r="B277" s="337">
        <v>903</v>
      </c>
      <c r="C277" s="341" t="s">
        <v>280</v>
      </c>
      <c r="D277" s="341" t="s">
        <v>231</v>
      </c>
      <c r="E277" s="341" t="s">
        <v>285</v>
      </c>
      <c r="F277" s="341"/>
      <c r="G277" s="339">
        <f>G278+G286+G290+G300+G296</f>
        <v>17073.7</v>
      </c>
      <c r="H277" s="339">
        <f>H278+H286+H290+H300+H296</f>
        <v>8920.2999999999993</v>
      </c>
      <c r="I277" s="339">
        <f t="shared" si="18"/>
        <v>52.245851807165401</v>
      </c>
    </row>
    <row r="278" spans="1:10" s="218" customFormat="1" ht="31.5" x14ac:dyDescent="0.25">
      <c r="A278" s="340" t="s">
        <v>941</v>
      </c>
      <c r="B278" s="337">
        <v>903</v>
      </c>
      <c r="C278" s="341" t="s">
        <v>280</v>
      </c>
      <c r="D278" s="341" t="s">
        <v>231</v>
      </c>
      <c r="E278" s="341" t="s">
        <v>942</v>
      </c>
      <c r="F278" s="341"/>
      <c r="G278" s="44">
        <f>G279</f>
        <v>15441</v>
      </c>
      <c r="H278" s="44">
        <f>H279</f>
        <v>8233.2999999999993</v>
      </c>
      <c r="I278" s="339">
        <f t="shared" si="18"/>
        <v>53.321028430801107</v>
      </c>
      <c r="J278" s="332"/>
    </row>
    <row r="279" spans="1:10" s="218" customFormat="1" ht="15.75" x14ac:dyDescent="0.25">
      <c r="A279" s="342" t="s">
        <v>832</v>
      </c>
      <c r="B279" s="336">
        <v>903</v>
      </c>
      <c r="C279" s="338" t="s">
        <v>280</v>
      </c>
      <c r="D279" s="338" t="s">
        <v>231</v>
      </c>
      <c r="E279" s="338" t="s">
        <v>940</v>
      </c>
      <c r="F279" s="338"/>
      <c r="G279" s="344">
        <f>G280+G282+G284</f>
        <v>15441</v>
      </c>
      <c r="H279" s="344">
        <f>H280+H282+H284</f>
        <v>8233.2999999999993</v>
      </c>
      <c r="I279" s="343">
        <f t="shared" si="18"/>
        <v>53.321028430801107</v>
      </c>
      <c r="J279" s="332"/>
    </row>
    <row r="280" spans="1:10" s="218" customFormat="1" ht="63" x14ac:dyDescent="0.25">
      <c r="A280" s="342" t="s">
        <v>143</v>
      </c>
      <c r="B280" s="336">
        <v>903</v>
      </c>
      <c r="C280" s="338" t="s">
        <v>280</v>
      </c>
      <c r="D280" s="338" t="s">
        <v>231</v>
      </c>
      <c r="E280" s="338" t="s">
        <v>940</v>
      </c>
      <c r="F280" s="338" t="s">
        <v>144</v>
      </c>
      <c r="G280" s="344">
        <f>G281</f>
        <v>13412.5</v>
      </c>
      <c r="H280" s="344">
        <f>H281</f>
        <v>7393.5</v>
      </c>
      <c r="I280" s="343">
        <f t="shared" si="18"/>
        <v>55.123951537744645</v>
      </c>
      <c r="J280" s="332"/>
    </row>
    <row r="281" spans="1:10" s="218" customFormat="1" ht="15.75" x14ac:dyDescent="0.25">
      <c r="A281" s="46" t="s">
        <v>358</v>
      </c>
      <c r="B281" s="336">
        <v>903</v>
      </c>
      <c r="C281" s="338" t="s">
        <v>280</v>
      </c>
      <c r="D281" s="338" t="s">
        <v>231</v>
      </c>
      <c r="E281" s="338" t="s">
        <v>940</v>
      </c>
      <c r="F281" s="338" t="s">
        <v>225</v>
      </c>
      <c r="G281" s="344">
        <f>13393+19.5</f>
        <v>13412.5</v>
      </c>
      <c r="H281" s="344">
        <v>7393.5</v>
      </c>
      <c r="I281" s="343">
        <f t="shared" si="18"/>
        <v>55.123951537744645</v>
      </c>
      <c r="J281" s="332"/>
    </row>
    <row r="282" spans="1:10" s="218" customFormat="1" ht="31.5" x14ac:dyDescent="0.25">
      <c r="A282" s="342" t="s">
        <v>147</v>
      </c>
      <c r="B282" s="336">
        <v>903</v>
      </c>
      <c r="C282" s="338" t="s">
        <v>280</v>
      </c>
      <c r="D282" s="338" t="s">
        <v>231</v>
      </c>
      <c r="E282" s="338" t="s">
        <v>940</v>
      </c>
      <c r="F282" s="338" t="s">
        <v>148</v>
      </c>
      <c r="G282" s="344">
        <f>G283</f>
        <v>1950.5</v>
      </c>
      <c r="H282" s="344">
        <f>H283</f>
        <v>803.5</v>
      </c>
      <c r="I282" s="343">
        <f t="shared" si="18"/>
        <v>41.194565496026655</v>
      </c>
      <c r="J282" s="332"/>
    </row>
    <row r="283" spans="1:10" s="218" customFormat="1" ht="31.5" x14ac:dyDescent="0.25">
      <c r="A283" s="342" t="s">
        <v>149</v>
      </c>
      <c r="B283" s="336">
        <v>903</v>
      </c>
      <c r="C283" s="338" t="s">
        <v>280</v>
      </c>
      <c r="D283" s="338" t="s">
        <v>231</v>
      </c>
      <c r="E283" s="338" t="s">
        <v>940</v>
      </c>
      <c r="F283" s="338" t="s">
        <v>150</v>
      </c>
      <c r="G283" s="344">
        <f>1540+140+290-19.5</f>
        <v>1950.5</v>
      </c>
      <c r="H283" s="344">
        <v>803.5</v>
      </c>
      <c r="I283" s="343">
        <f t="shared" si="18"/>
        <v>41.194565496026655</v>
      </c>
      <c r="J283" s="332"/>
    </row>
    <row r="284" spans="1:10" s="218" customFormat="1" ht="15.75" x14ac:dyDescent="0.25">
      <c r="A284" s="342" t="s">
        <v>151</v>
      </c>
      <c r="B284" s="336">
        <v>903</v>
      </c>
      <c r="C284" s="338" t="s">
        <v>280</v>
      </c>
      <c r="D284" s="338" t="s">
        <v>231</v>
      </c>
      <c r="E284" s="338" t="s">
        <v>940</v>
      </c>
      <c r="F284" s="338" t="s">
        <v>161</v>
      </c>
      <c r="G284" s="344">
        <f>G285</f>
        <v>78</v>
      </c>
      <c r="H284" s="344">
        <f>H285</f>
        <v>36.299999999999997</v>
      </c>
      <c r="I284" s="343">
        <f t="shared" si="18"/>
        <v>46.538461538461533</v>
      </c>
      <c r="J284" s="332"/>
    </row>
    <row r="285" spans="1:10" s="218" customFormat="1" ht="15.75" x14ac:dyDescent="0.25">
      <c r="A285" s="342" t="s">
        <v>727</v>
      </c>
      <c r="B285" s="336">
        <v>903</v>
      </c>
      <c r="C285" s="338" t="s">
        <v>280</v>
      </c>
      <c r="D285" s="338" t="s">
        <v>231</v>
      </c>
      <c r="E285" s="338" t="s">
        <v>940</v>
      </c>
      <c r="F285" s="338" t="s">
        <v>154</v>
      </c>
      <c r="G285" s="344">
        <f>78.6-0.6</f>
        <v>78</v>
      </c>
      <c r="H285" s="344">
        <v>36.299999999999997</v>
      </c>
      <c r="I285" s="343">
        <f t="shared" si="18"/>
        <v>46.538461538461533</v>
      </c>
      <c r="J285" s="332"/>
    </row>
    <row r="286" spans="1:10" s="218" customFormat="1" ht="31.5" x14ac:dyDescent="0.25">
      <c r="A286" s="228" t="s">
        <v>1189</v>
      </c>
      <c r="B286" s="337">
        <v>903</v>
      </c>
      <c r="C286" s="341" t="s">
        <v>280</v>
      </c>
      <c r="D286" s="341" t="s">
        <v>231</v>
      </c>
      <c r="E286" s="341" t="s">
        <v>944</v>
      </c>
      <c r="F286" s="341"/>
      <c r="G286" s="44">
        <f t="shared" ref="G286:H288" si="20">G287</f>
        <v>45</v>
      </c>
      <c r="H286" s="44">
        <f t="shared" si="20"/>
        <v>14.4</v>
      </c>
      <c r="I286" s="339">
        <f t="shared" si="18"/>
        <v>32</v>
      </c>
      <c r="J286" s="332"/>
    </row>
    <row r="287" spans="1:10" ht="15.75" x14ac:dyDescent="0.25">
      <c r="A287" s="209" t="s">
        <v>831</v>
      </c>
      <c r="B287" s="336">
        <v>903</v>
      </c>
      <c r="C287" s="338" t="s">
        <v>280</v>
      </c>
      <c r="D287" s="338" t="s">
        <v>231</v>
      </c>
      <c r="E287" s="338" t="s">
        <v>943</v>
      </c>
      <c r="F287" s="338"/>
      <c r="G287" s="344">
        <f t="shared" si="20"/>
        <v>45</v>
      </c>
      <c r="H287" s="344">
        <f t="shared" si="20"/>
        <v>14.4</v>
      </c>
      <c r="I287" s="343">
        <f t="shared" si="18"/>
        <v>32</v>
      </c>
    </row>
    <row r="288" spans="1:10" ht="15.75" x14ac:dyDescent="0.25">
      <c r="A288" s="342" t="s">
        <v>264</v>
      </c>
      <c r="B288" s="336">
        <v>903</v>
      </c>
      <c r="C288" s="338" t="s">
        <v>280</v>
      </c>
      <c r="D288" s="338" t="s">
        <v>231</v>
      </c>
      <c r="E288" s="338" t="s">
        <v>943</v>
      </c>
      <c r="F288" s="338" t="s">
        <v>265</v>
      </c>
      <c r="G288" s="344">
        <f t="shared" si="20"/>
        <v>45</v>
      </c>
      <c r="H288" s="344">
        <f t="shared" si="20"/>
        <v>14.4</v>
      </c>
      <c r="I288" s="343">
        <f t="shared" si="18"/>
        <v>32</v>
      </c>
    </row>
    <row r="289" spans="1:10" ht="15.75" x14ac:dyDescent="0.25">
      <c r="A289" s="342" t="s">
        <v>865</v>
      </c>
      <c r="B289" s="336">
        <v>903</v>
      </c>
      <c r="C289" s="338" t="s">
        <v>280</v>
      </c>
      <c r="D289" s="338" t="s">
        <v>231</v>
      </c>
      <c r="E289" s="338" t="s">
        <v>943</v>
      </c>
      <c r="F289" s="338" t="s">
        <v>864</v>
      </c>
      <c r="G289" s="344">
        <v>45</v>
      </c>
      <c r="H289" s="344">
        <v>14.4</v>
      </c>
      <c r="I289" s="343">
        <f t="shared" si="18"/>
        <v>32</v>
      </c>
    </row>
    <row r="290" spans="1:10" s="218" customFormat="1" ht="45" customHeight="1" x14ac:dyDescent="0.25">
      <c r="A290" s="233" t="s">
        <v>1168</v>
      </c>
      <c r="B290" s="337">
        <v>903</v>
      </c>
      <c r="C290" s="341" t="s">
        <v>280</v>
      </c>
      <c r="D290" s="341" t="s">
        <v>231</v>
      </c>
      <c r="E290" s="341" t="s">
        <v>945</v>
      </c>
      <c r="F290" s="341"/>
      <c r="G290" s="339">
        <f>G291</f>
        <v>250.00000000000003</v>
      </c>
      <c r="H290" s="339">
        <f>H291</f>
        <v>66.900000000000006</v>
      </c>
      <c r="I290" s="339">
        <f t="shared" si="18"/>
        <v>26.76</v>
      </c>
      <c r="J290" s="332"/>
    </row>
    <row r="291" spans="1:10" ht="36" customHeight="1" x14ac:dyDescent="0.25">
      <c r="A291" s="31" t="s">
        <v>860</v>
      </c>
      <c r="B291" s="336">
        <v>903</v>
      </c>
      <c r="C291" s="338" t="s">
        <v>280</v>
      </c>
      <c r="D291" s="338" t="s">
        <v>231</v>
      </c>
      <c r="E291" s="338" t="s">
        <v>946</v>
      </c>
      <c r="F291" s="338"/>
      <c r="G291" s="344">
        <f>G294+G292</f>
        <v>250.00000000000003</v>
      </c>
      <c r="H291" s="344">
        <f>H294+H292</f>
        <v>66.900000000000006</v>
      </c>
      <c r="I291" s="343">
        <f t="shared" si="18"/>
        <v>26.76</v>
      </c>
    </row>
    <row r="292" spans="1:10" ht="63" x14ac:dyDescent="0.25">
      <c r="A292" s="342" t="s">
        <v>143</v>
      </c>
      <c r="B292" s="336">
        <v>903</v>
      </c>
      <c r="C292" s="338" t="s">
        <v>280</v>
      </c>
      <c r="D292" s="338" t="s">
        <v>231</v>
      </c>
      <c r="E292" s="338" t="s">
        <v>946</v>
      </c>
      <c r="F292" s="338" t="s">
        <v>144</v>
      </c>
      <c r="G292" s="344">
        <f>G293</f>
        <v>250.00000000000003</v>
      </c>
      <c r="H292" s="344">
        <f>H293</f>
        <v>66.900000000000006</v>
      </c>
      <c r="I292" s="343">
        <f t="shared" si="18"/>
        <v>26.76</v>
      </c>
    </row>
    <row r="293" spans="1:10" ht="24.75" customHeight="1" x14ac:dyDescent="0.25">
      <c r="A293" s="46" t="s">
        <v>358</v>
      </c>
      <c r="B293" s="336">
        <v>903</v>
      </c>
      <c r="C293" s="338" t="s">
        <v>280</v>
      </c>
      <c r="D293" s="338" t="s">
        <v>231</v>
      </c>
      <c r="E293" s="338" t="s">
        <v>946</v>
      </c>
      <c r="F293" s="338" t="s">
        <v>225</v>
      </c>
      <c r="G293" s="344">
        <f>264.6-14.6</f>
        <v>250.00000000000003</v>
      </c>
      <c r="H293" s="344">
        <v>66.900000000000006</v>
      </c>
      <c r="I293" s="343">
        <f t="shared" si="18"/>
        <v>26.76</v>
      </c>
    </row>
    <row r="294" spans="1:10" ht="30.75" hidden="1" customHeight="1" x14ac:dyDescent="0.25">
      <c r="A294" s="342" t="s">
        <v>147</v>
      </c>
      <c r="B294" s="336">
        <v>903</v>
      </c>
      <c r="C294" s="338" t="s">
        <v>280</v>
      </c>
      <c r="D294" s="338" t="s">
        <v>231</v>
      </c>
      <c r="E294" s="338" t="s">
        <v>946</v>
      </c>
      <c r="F294" s="338" t="s">
        <v>148</v>
      </c>
      <c r="G294" s="344">
        <f>G295</f>
        <v>0</v>
      </c>
      <c r="H294" s="344">
        <f>H295</f>
        <v>0</v>
      </c>
      <c r="I294" s="343" t="e">
        <f t="shared" si="18"/>
        <v>#DIV/0!</v>
      </c>
    </row>
    <row r="295" spans="1:10" ht="39.200000000000003" hidden="1" customHeight="1" x14ac:dyDescent="0.25">
      <c r="A295" s="342" t="s">
        <v>149</v>
      </c>
      <c r="B295" s="336">
        <v>903</v>
      </c>
      <c r="C295" s="338" t="s">
        <v>280</v>
      </c>
      <c r="D295" s="338" t="s">
        <v>231</v>
      </c>
      <c r="E295" s="338" t="s">
        <v>946</v>
      </c>
      <c r="F295" s="338" t="s">
        <v>150</v>
      </c>
      <c r="G295" s="344">
        <f>300-300</f>
        <v>0</v>
      </c>
      <c r="H295" s="344">
        <f>300-300</f>
        <v>0</v>
      </c>
      <c r="I295" s="343" t="e">
        <f t="shared" si="18"/>
        <v>#DIV/0!</v>
      </c>
    </row>
    <row r="296" spans="1:10" s="218" customFormat="1" ht="39.200000000000003" customHeight="1" x14ac:dyDescent="0.25">
      <c r="A296" s="340" t="s">
        <v>1076</v>
      </c>
      <c r="B296" s="337">
        <v>903</v>
      </c>
      <c r="C296" s="341" t="s">
        <v>280</v>
      </c>
      <c r="D296" s="341" t="s">
        <v>231</v>
      </c>
      <c r="E296" s="341" t="s">
        <v>951</v>
      </c>
      <c r="F296" s="341"/>
      <c r="G296" s="44">
        <f t="shared" ref="G296:H298" si="21">G297</f>
        <v>336</v>
      </c>
      <c r="H296" s="44">
        <f t="shared" si="21"/>
        <v>211.2</v>
      </c>
      <c r="I296" s="339">
        <f t="shared" si="18"/>
        <v>62.857142857142854</v>
      </c>
      <c r="J296" s="332"/>
    </row>
    <row r="297" spans="1:10" s="218" customFormat="1" ht="39.200000000000003" customHeight="1" x14ac:dyDescent="0.25">
      <c r="A297" s="342" t="s">
        <v>885</v>
      </c>
      <c r="B297" s="336">
        <v>903</v>
      </c>
      <c r="C297" s="338" t="s">
        <v>280</v>
      </c>
      <c r="D297" s="338" t="s">
        <v>231</v>
      </c>
      <c r="E297" s="338" t="s">
        <v>1263</v>
      </c>
      <c r="F297" s="338"/>
      <c r="G297" s="343">
        <f t="shared" si="21"/>
        <v>336</v>
      </c>
      <c r="H297" s="343">
        <f t="shared" si="21"/>
        <v>211.2</v>
      </c>
      <c r="I297" s="343">
        <f t="shared" si="18"/>
        <v>62.857142857142854</v>
      </c>
      <c r="J297" s="332"/>
    </row>
    <row r="298" spans="1:10" s="218" customFormat="1" ht="70.5" customHeight="1" x14ac:dyDescent="0.25">
      <c r="A298" s="342" t="s">
        <v>143</v>
      </c>
      <c r="B298" s="336">
        <v>903</v>
      </c>
      <c r="C298" s="338" t="s">
        <v>280</v>
      </c>
      <c r="D298" s="338" t="s">
        <v>231</v>
      </c>
      <c r="E298" s="338" t="s">
        <v>1263</v>
      </c>
      <c r="F298" s="338" t="s">
        <v>144</v>
      </c>
      <c r="G298" s="343">
        <f t="shared" si="21"/>
        <v>336</v>
      </c>
      <c r="H298" s="343">
        <f t="shared" si="21"/>
        <v>211.2</v>
      </c>
      <c r="I298" s="343">
        <f t="shared" si="18"/>
        <v>62.857142857142854</v>
      </c>
      <c r="J298" s="332"/>
    </row>
    <row r="299" spans="1:10" s="218" customFormat="1" ht="25.5" customHeight="1" x14ac:dyDescent="0.25">
      <c r="A299" s="342" t="s">
        <v>358</v>
      </c>
      <c r="B299" s="336">
        <v>903</v>
      </c>
      <c r="C299" s="338" t="s">
        <v>280</v>
      </c>
      <c r="D299" s="338" t="s">
        <v>231</v>
      </c>
      <c r="E299" s="338" t="s">
        <v>1263</v>
      </c>
      <c r="F299" s="338" t="s">
        <v>225</v>
      </c>
      <c r="G299" s="343">
        <v>336</v>
      </c>
      <c r="H299" s="343">
        <v>211.2</v>
      </c>
      <c r="I299" s="343">
        <f t="shared" si="18"/>
        <v>62.857142857142854</v>
      </c>
      <c r="J299" s="332"/>
    </row>
    <row r="300" spans="1:10" s="218" customFormat="1" ht="50.25" customHeight="1" x14ac:dyDescent="0.25">
      <c r="A300" s="340" t="s">
        <v>971</v>
      </c>
      <c r="B300" s="337">
        <v>903</v>
      </c>
      <c r="C300" s="341" t="s">
        <v>280</v>
      </c>
      <c r="D300" s="341" t="s">
        <v>231</v>
      </c>
      <c r="E300" s="341" t="s">
        <v>1264</v>
      </c>
      <c r="F300" s="341"/>
      <c r="G300" s="44">
        <f>G304+G307+G310+G301</f>
        <v>1001.7</v>
      </c>
      <c r="H300" s="44">
        <f>H304+H307+H310+H301</f>
        <v>394.50000000000006</v>
      </c>
      <c r="I300" s="339">
        <f t="shared" si="18"/>
        <v>39.383048817011087</v>
      </c>
      <c r="J300" s="332"/>
    </row>
    <row r="301" spans="1:10" s="332" customFormat="1" ht="80.45" customHeight="1" x14ac:dyDescent="0.25">
      <c r="A301" s="31" t="s">
        <v>309</v>
      </c>
      <c r="B301" s="336">
        <v>903</v>
      </c>
      <c r="C301" s="338" t="s">
        <v>280</v>
      </c>
      <c r="D301" s="338" t="s">
        <v>231</v>
      </c>
      <c r="E301" s="338" t="s">
        <v>1520</v>
      </c>
      <c r="F301" s="338"/>
      <c r="G301" s="344">
        <f>G302</f>
        <v>422.5</v>
      </c>
      <c r="H301" s="344">
        <f>H302</f>
        <v>59.8</v>
      </c>
      <c r="I301" s="343">
        <f t="shared" si="18"/>
        <v>14.153846153846153</v>
      </c>
    </row>
    <row r="302" spans="1:10" s="332" customFormat="1" ht="70.5" customHeight="1" x14ac:dyDescent="0.25">
      <c r="A302" s="342" t="s">
        <v>143</v>
      </c>
      <c r="B302" s="336">
        <v>903</v>
      </c>
      <c r="C302" s="338" t="s">
        <v>280</v>
      </c>
      <c r="D302" s="338" t="s">
        <v>231</v>
      </c>
      <c r="E302" s="338" t="s">
        <v>1520</v>
      </c>
      <c r="F302" s="338" t="s">
        <v>144</v>
      </c>
      <c r="G302" s="344">
        <f>G303</f>
        <v>422.5</v>
      </c>
      <c r="H302" s="344">
        <f>H303</f>
        <v>59.8</v>
      </c>
      <c r="I302" s="343">
        <f t="shared" si="18"/>
        <v>14.153846153846153</v>
      </c>
    </row>
    <row r="303" spans="1:10" s="332" customFormat="1" ht="39.200000000000003" customHeight="1" x14ac:dyDescent="0.25">
      <c r="A303" s="46" t="s">
        <v>358</v>
      </c>
      <c r="B303" s="336">
        <v>903</v>
      </c>
      <c r="C303" s="338" t="s">
        <v>280</v>
      </c>
      <c r="D303" s="338" t="s">
        <v>231</v>
      </c>
      <c r="E303" s="338" t="s">
        <v>1520</v>
      </c>
      <c r="F303" s="338" t="s">
        <v>225</v>
      </c>
      <c r="G303" s="344">
        <v>422.5</v>
      </c>
      <c r="H303" s="344">
        <v>59.8</v>
      </c>
      <c r="I303" s="343">
        <f t="shared" si="18"/>
        <v>14.153846153846153</v>
      </c>
    </row>
    <row r="304" spans="1:10" s="218" customFormat="1" ht="71.45" customHeight="1" x14ac:dyDescent="0.25">
      <c r="A304" s="31" t="s">
        <v>305</v>
      </c>
      <c r="B304" s="336">
        <v>903</v>
      </c>
      <c r="C304" s="338" t="s">
        <v>280</v>
      </c>
      <c r="D304" s="338" t="s">
        <v>231</v>
      </c>
      <c r="E304" s="338" t="s">
        <v>1265</v>
      </c>
      <c r="F304" s="338"/>
      <c r="G304" s="343">
        <f>G305</f>
        <v>100.8</v>
      </c>
      <c r="H304" s="343">
        <f>H305</f>
        <v>42.7</v>
      </c>
      <c r="I304" s="343">
        <f t="shared" si="18"/>
        <v>42.361111111111114</v>
      </c>
      <c r="J304" s="332"/>
    </row>
    <row r="305" spans="1:10" s="218" customFormat="1" ht="70.5" customHeight="1" x14ac:dyDescent="0.25">
      <c r="A305" s="342" t="s">
        <v>143</v>
      </c>
      <c r="B305" s="336">
        <v>903</v>
      </c>
      <c r="C305" s="338" t="s">
        <v>280</v>
      </c>
      <c r="D305" s="338" t="s">
        <v>231</v>
      </c>
      <c r="E305" s="338" t="s">
        <v>1265</v>
      </c>
      <c r="F305" s="338" t="s">
        <v>144</v>
      </c>
      <c r="G305" s="343">
        <f>G306</f>
        <v>100.8</v>
      </c>
      <c r="H305" s="343">
        <f>H306</f>
        <v>42.7</v>
      </c>
      <c r="I305" s="343">
        <f t="shared" si="18"/>
        <v>42.361111111111114</v>
      </c>
      <c r="J305" s="332"/>
    </row>
    <row r="306" spans="1:10" s="218" customFormat="1" ht="21.75" customHeight="1" x14ac:dyDescent="0.25">
      <c r="A306" s="46" t="s">
        <v>358</v>
      </c>
      <c r="B306" s="336">
        <v>903</v>
      </c>
      <c r="C306" s="338" t="s">
        <v>280</v>
      </c>
      <c r="D306" s="338" t="s">
        <v>231</v>
      </c>
      <c r="E306" s="338" t="s">
        <v>1265</v>
      </c>
      <c r="F306" s="338" t="s">
        <v>225</v>
      </c>
      <c r="G306" s="343">
        <v>100.8</v>
      </c>
      <c r="H306" s="343">
        <v>42.7</v>
      </c>
      <c r="I306" s="343">
        <f t="shared" si="18"/>
        <v>42.361111111111114</v>
      </c>
      <c r="J306" s="332"/>
    </row>
    <row r="307" spans="1:10" s="218" customFormat="1" ht="67.7" customHeight="1" x14ac:dyDescent="0.25">
      <c r="A307" s="31" t="s">
        <v>307</v>
      </c>
      <c r="B307" s="336">
        <v>903</v>
      </c>
      <c r="C307" s="338" t="s">
        <v>280</v>
      </c>
      <c r="D307" s="338" t="s">
        <v>231</v>
      </c>
      <c r="E307" s="338" t="s">
        <v>1266</v>
      </c>
      <c r="F307" s="338"/>
      <c r="G307" s="343">
        <f>G308</f>
        <v>298.40000000000003</v>
      </c>
      <c r="H307" s="343">
        <f>H308</f>
        <v>128.9</v>
      </c>
      <c r="I307" s="343">
        <f t="shared" si="18"/>
        <v>43.197050938337803</v>
      </c>
      <c r="J307" s="332"/>
    </row>
    <row r="308" spans="1:10" s="218" customFormat="1" ht="69.75" customHeight="1" x14ac:dyDescent="0.25">
      <c r="A308" s="342" t="s">
        <v>143</v>
      </c>
      <c r="B308" s="336">
        <v>903</v>
      </c>
      <c r="C308" s="338" t="s">
        <v>280</v>
      </c>
      <c r="D308" s="338" t="s">
        <v>231</v>
      </c>
      <c r="E308" s="338" t="s">
        <v>1266</v>
      </c>
      <c r="F308" s="338" t="s">
        <v>144</v>
      </c>
      <c r="G308" s="343">
        <f>G309</f>
        <v>298.40000000000003</v>
      </c>
      <c r="H308" s="343">
        <f>H309</f>
        <v>128.9</v>
      </c>
      <c r="I308" s="343">
        <f t="shared" si="18"/>
        <v>43.197050938337803</v>
      </c>
      <c r="J308" s="332"/>
    </row>
    <row r="309" spans="1:10" s="218" customFormat="1" ht="21.2" customHeight="1" x14ac:dyDescent="0.25">
      <c r="A309" s="46" t="s">
        <v>358</v>
      </c>
      <c r="B309" s="336">
        <v>903</v>
      </c>
      <c r="C309" s="338" t="s">
        <v>280</v>
      </c>
      <c r="D309" s="338" t="s">
        <v>231</v>
      </c>
      <c r="E309" s="338" t="s">
        <v>1266</v>
      </c>
      <c r="F309" s="338" t="s">
        <v>225</v>
      </c>
      <c r="G309" s="343">
        <f>298.35+0.05</f>
        <v>298.40000000000003</v>
      </c>
      <c r="H309" s="343">
        <v>128.9</v>
      </c>
      <c r="I309" s="343">
        <f t="shared" si="18"/>
        <v>43.197050938337803</v>
      </c>
      <c r="J309" s="332"/>
    </row>
    <row r="310" spans="1:10" s="218" customFormat="1" ht="87.75" customHeight="1" x14ac:dyDescent="0.25">
      <c r="A310" s="31" t="s">
        <v>309</v>
      </c>
      <c r="B310" s="336">
        <v>903</v>
      </c>
      <c r="C310" s="338" t="s">
        <v>280</v>
      </c>
      <c r="D310" s="338" t="s">
        <v>231</v>
      </c>
      <c r="E310" s="338" t="s">
        <v>1267</v>
      </c>
      <c r="F310" s="338"/>
      <c r="G310" s="343">
        <f>G311</f>
        <v>180</v>
      </c>
      <c r="H310" s="343">
        <f>H311</f>
        <v>163.1</v>
      </c>
      <c r="I310" s="343">
        <f t="shared" si="18"/>
        <v>90.611111111111114</v>
      </c>
      <c r="J310" s="332"/>
    </row>
    <row r="311" spans="1:10" s="218" customFormat="1" ht="62.45" customHeight="1" x14ac:dyDescent="0.25">
      <c r="A311" s="342" t="s">
        <v>143</v>
      </c>
      <c r="B311" s="336">
        <v>903</v>
      </c>
      <c r="C311" s="338" t="s">
        <v>280</v>
      </c>
      <c r="D311" s="338" t="s">
        <v>231</v>
      </c>
      <c r="E311" s="338" t="s">
        <v>1267</v>
      </c>
      <c r="F311" s="338" t="s">
        <v>144</v>
      </c>
      <c r="G311" s="343">
        <f>G312</f>
        <v>180</v>
      </c>
      <c r="H311" s="343">
        <f>H312</f>
        <v>163.1</v>
      </c>
      <c r="I311" s="343">
        <f t="shared" si="18"/>
        <v>90.611111111111114</v>
      </c>
      <c r="J311" s="332"/>
    </row>
    <row r="312" spans="1:10" s="218" customFormat="1" ht="16.5" customHeight="1" x14ac:dyDescent="0.25">
      <c r="A312" s="46" t="s">
        <v>358</v>
      </c>
      <c r="B312" s="336">
        <v>903</v>
      </c>
      <c r="C312" s="338" t="s">
        <v>280</v>
      </c>
      <c r="D312" s="338" t="s">
        <v>231</v>
      </c>
      <c r="E312" s="338" t="s">
        <v>1267</v>
      </c>
      <c r="F312" s="338" t="s">
        <v>225</v>
      </c>
      <c r="G312" s="343">
        <f>602.48+0.02-422.5</f>
        <v>180</v>
      </c>
      <c r="H312" s="343">
        <v>163.1</v>
      </c>
      <c r="I312" s="343">
        <f t="shared" si="18"/>
        <v>90.611111111111114</v>
      </c>
      <c r="J312" s="332"/>
    </row>
    <row r="313" spans="1:10" ht="51" customHeight="1" x14ac:dyDescent="0.25">
      <c r="A313" s="41" t="s">
        <v>730</v>
      </c>
      <c r="B313" s="337">
        <v>903</v>
      </c>
      <c r="C313" s="341" t="s">
        <v>280</v>
      </c>
      <c r="D313" s="341" t="s">
        <v>231</v>
      </c>
      <c r="E313" s="341" t="s">
        <v>728</v>
      </c>
      <c r="F313" s="341"/>
      <c r="G313" s="339">
        <f>G315</f>
        <v>327.39999999999998</v>
      </c>
      <c r="H313" s="339">
        <f>H315</f>
        <v>130.30000000000001</v>
      </c>
      <c r="I313" s="339">
        <f t="shared" si="18"/>
        <v>39.798411728772152</v>
      </c>
    </row>
    <row r="314" spans="1:10" s="218" customFormat="1" ht="48.75" customHeight="1" x14ac:dyDescent="0.25">
      <c r="A314" s="41" t="s">
        <v>949</v>
      </c>
      <c r="B314" s="337">
        <v>903</v>
      </c>
      <c r="C314" s="341" t="s">
        <v>280</v>
      </c>
      <c r="D314" s="341" t="s">
        <v>231</v>
      </c>
      <c r="E314" s="341" t="s">
        <v>947</v>
      </c>
      <c r="F314" s="341"/>
      <c r="G314" s="339">
        <f t="shared" ref="G314:H316" si="22">G315</f>
        <v>327.39999999999998</v>
      </c>
      <c r="H314" s="339">
        <f t="shared" si="22"/>
        <v>130.30000000000001</v>
      </c>
      <c r="I314" s="339">
        <f t="shared" si="18"/>
        <v>39.798411728772152</v>
      </c>
      <c r="J314" s="332"/>
    </row>
    <row r="315" spans="1:10" ht="32.25" customHeight="1" x14ac:dyDescent="0.25">
      <c r="A315" s="99" t="s">
        <v>1157</v>
      </c>
      <c r="B315" s="338" t="s">
        <v>644</v>
      </c>
      <c r="C315" s="338" t="s">
        <v>280</v>
      </c>
      <c r="D315" s="338" t="s">
        <v>231</v>
      </c>
      <c r="E315" s="338" t="s">
        <v>948</v>
      </c>
      <c r="F315" s="32"/>
      <c r="G315" s="343">
        <f t="shared" si="22"/>
        <v>327.39999999999998</v>
      </c>
      <c r="H315" s="343">
        <f t="shared" si="22"/>
        <v>130.30000000000001</v>
      </c>
      <c r="I315" s="343">
        <f t="shared" si="18"/>
        <v>39.798411728772152</v>
      </c>
    </row>
    <row r="316" spans="1:10" ht="33" customHeight="1" x14ac:dyDescent="0.25">
      <c r="A316" s="342" t="s">
        <v>147</v>
      </c>
      <c r="B316" s="336">
        <v>903</v>
      </c>
      <c r="C316" s="338" t="s">
        <v>280</v>
      </c>
      <c r="D316" s="338" t="s">
        <v>231</v>
      </c>
      <c r="E316" s="338" t="s">
        <v>948</v>
      </c>
      <c r="F316" s="32" t="s">
        <v>148</v>
      </c>
      <c r="G316" s="343">
        <f t="shared" si="22"/>
        <v>327.39999999999998</v>
      </c>
      <c r="H316" s="343">
        <f t="shared" si="22"/>
        <v>130.30000000000001</v>
      </c>
      <c r="I316" s="343">
        <f t="shared" si="18"/>
        <v>39.798411728772152</v>
      </c>
    </row>
    <row r="317" spans="1:10" ht="34.5" customHeight="1" x14ac:dyDescent="0.25">
      <c r="A317" s="342" t="s">
        <v>149</v>
      </c>
      <c r="B317" s="336">
        <v>903</v>
      </c>
      <c r="C317" s="338" t="s">
        <v>280</v>
      </c>
      <c r="D317" s="338" t="s">
        <v>231</v>
      </c>
      <c r="E317" s="338" t="s">
        <v>948</v>
      </c>
      <c r="F317" s="32" t="s">
        <v>150</v>
      </c>
      <c r="G317" s="343">
        <f>221+106.4</f>
        <v>327.39999999999998</v>
      </c>
      <c r="H317" s="343">
        <v>130.30000000000001</v>
      </c>
      <c r="I317" s="343">
        <f t="shared" si="18"/>
        <v>39.798411728772152</v>
      </c>
    </row>
    <row r="318" spans="1:10" ht="19.5" customHeight="1" x14ac:dyDescent="0.25">
      <c r="A318" s="340" t="s">
        <v>482</v>
      </c>
      <c r="B318" s="337">
        <v>903</v>
      </c>
      <c r="C318" s="341" t="s">
        <v>280</v>
      </c>
      <c r="D318" s="341" t="s">
        <v>280</v>
      </c>
      <c r="E318" s="338"/>
      <c r="F318" s="338"/>
      <c r="G318" s="339">
        <f>G319</f>
        <v>760</v>
      </c>
      <c r="H318" s="339">
        <f>H319</f>
        <v>142.69999999999999</v>
      </c>
      <c r="I318" s="339">
        <f t="shared" si="18"/>
        <v>18.776315789473681</v>
      </c>
    </row>
    <row r="319" spans="1:10" ht="52.5" customHeight="1" x14ac:dyDescent="0.25">
      <c r="A319" s="340" t="s">
        <v>359</v>
      </c>
      <c r="B319" s="337">
        <v>903</v>
      </c>
      <c r="C319" s="341" t="s">
        <v>280</v>
      </c>
      <c r="D319" s="341" t="s">
        <v>280</v>
      </c>
      <c r="E319" s="341" t="s">
        <v>360</v>
      </c>
      <c r="F319" s="341"/>
      <c r="G319" s="339">
        <f>G320</f>
        <v>760</v>
      </c>
      <c r="H319" s="339">
        <f>H320</f>
        <v>142.69999999999999</v>
      </c>
      <c r="I319" s="339">
        <f t="shared" si="18"/>
        <v>18.776315789473681</v>
      </c>
    </row>
    <row r="320" spans="1:10" ht="32.25" customHeight="1" x14ac:dyDescent="0.25">
      <c r="A320" s="340" t="s">
        <v>361</v>
      </c>
      <c r="B320" s="337">
        <v>903</v>
      </c>
      <c r="C320" s="341" t="s">
        <v>280</v>
      </c>
      <c r="D320" s="341" t="s">
        <v>280</v>
      </c>
      <c r="E320" s="341" t="s">
        <v>362</v>
      </c>
      <c r="F320" s="341"/>
      <c r="G320" s="339">
        <f>G321+G328+G334</f>
        <v>760</v>
      </c>
      <c r="H320" s="339">
        <f>H321+H328+H334</f>
        <v>142.69999999999999</v>
      </c>
      <c r="I320" s="339">
        <f t="shared" si="18"/>
        <v>18.776315789473681</v>
      </c>
    </row>
    <row r="321" spans="1:10" s="218" customFormat="1" ht="48.75" customHeight="1" x14ac:dyDescent="0.25">
      <c r="A321" s="223" t="s">
        <v>1196</v>
      </c>
      <c r="B321" s="337">
        <v>903</v>
      </c>
      <c r="C321" s="341" t="s">
        <v>280</v>
      </c>
      <c r="D321" s="341" t="s">
        <v>280</v>
      </c>
      <c r="E321" s="341" t="s">
        <v>952</v>
      </c>
      <c r="F321" s="341"/>
      <c r="G321" s="339">
        <f>G322+G325</f>
        <v>280</v>
      </c>
      <c r="H321" s="339">
        <f>H322+H325</f>
        <v>0</v>
      </c>
      <c r="I321" s="339">
        <f t="shared" si="18"/>
        <v>0</v>
      </c>
      <c r="J321" s="332"/>
    </row>
    <row r="322" spans="1:10" s="218" customFormat="1" ht="23.25" customHeight="1" x14ac:dyDescent="0.25">
      <c r="A322" s="99" t="s">
        <v>1202</v>
      </c>
      <c r="B322" s="336">
        <v>903</v>
      </c>
      <c r="C322" s="338" t="s">
        <v>280</v>
      </c>
      <c r="D322" s="338" t="s">
        <v>280</v>
      </c>
      <c r="E322" s="338" t="s">
        <v>953</v>
      </c>
      <c r="F322" s="338"/>
      <c r="G322" s="343">
        <f>G323</f>
        <v>280</v>
      </c>
      <c r="H322" s="343">
        <f>H323</f>
        <v>0</v>
      </c>
      <c r="I322" s="343">
        <f t="shared" si="18"/>
        <v>0</v>
      </c>
      <c r="J322" s="332"/>
    </row>
    <row r="323" spans="1:10" s="218" customFormat="1" ht="72" customHeight="1" x14ac:dyDescent="0.25">
      <c r="A323" s="342" t="s">
        <v>143</v>
      </c>
      <c r="B323" s="336">
        <v>903</v>
      </c>
      <c r="C323" s="338" t="s">
        <v>280</v>
      </c>
      <c r="D323" s="338" t="s">
        <v>280</v>
      </c>
      <c r="E323" s="338" t="s">
        <v>953</v>
      </c>
      <c r="F323" s="338" t="s">
        <v>144</v>
      </c>
      <c r="G323" s="343">
        <f>G324</f>
        <v>280</v>
      </c>
      <c r="H323" s="343">
        <f>H324</f>
        <v>0</v>
      </c>
      <c r="I323" s="343">
        <f t="shared" si="18"/>
        <v>0</v>
      </c>
      <c r="J323" s="332"/>
    </row>
    <row r="324" spans="1:10" s="218" customFormat="1" ht="18" customHeight="1" x14ac:dyDescent="0.25">
      <c r="A324" s="342" t="s">
        <v>358</v>
      </c>
      <c r="B324" s="336">
        <v>903</v>
      </c>
      <c r="C324" s="338" t="s">
        <v>280</v>
      </c>
      <c r="D324" s="338" t="s">
        <v>280</v>
      </c>
      <c r="E324" s="338" t="s">
        <v>953</v>
      </c>
      <c r="F324" s="338" t="s">
        <v>225</v>
      </c>
      <c r="G324" s="343">
        <v>280</v>
      </c>
      <c r="H324" s="343">
        <v>0</v>
      </c>
      <c r="I324" s="343">
        <f t="shared" si="18"/>
        <v>0</v>
      </c>
      <c r="J324" s="332"/>
    </row>
    <row r="325" spans="1:10" s="218" customFormat="1" ht="19.5" hidden="1" customHeight="1" x14ac:dyDescent="0.25">
      <c r="A325" s="342" t="s">
        <v>1197</v>
      </c>
      <c r="B325" s="336">
        <v>903</v>
      </c>
      <c r="C325" s="338" t="s">
        <v>280</v>
      </c>
      <c r="D325" s="338" t="s">
        <v>280</v>
      </c>
      <c r="E325" s="338" t="s">
        <v>1221</v>
      </c>
      <c r="F325" s="338"/>
      <c r="G325" s="343">
        <f>G326</f>
        <v>0</v>
      </c>
      <c r="H325" s="343">
        <f>H326</f>
        <v>0</v>
      </c>
      <c r="I325" s="343" t="e">
        <f t="shared" si="18"/>
        <v>#DIV/0!</v>
      </c>
      <c r="J325" s="332"/>
    </row>
    <row r="326" spans="1:10" s="218" customFormat="1" ht="32.25" hidden="1" customHeight="1" x14ac:dyDescent="0.25">
      <c r="A326" s="342" t="s">
        <v>147</v>
      </c>
      <c r="B326" s="336">
        <v>903</v>
      </c>
      <c r="C326" s="338" t="s">
        <v>280</v>
      </c>
      <c r="D326" s="338" t="s">
        <v>280</v>
      </c>
      <c r="E326" s="338" t="s">
        <v>1221</v>
      </c>
      <c r="F326" s="338" t="s">
        <v>148</v>
      </c>
      <c r="G326" s="343">
        <f>G327</f>
        <v>0</v>
      </c>
      <c r="H326" s="343">
        <f>H327</f>
        <v>0</v>
      </c>
      <c r="I326" s="343" t="e">
        <f t="shared" si="18"/>
        <v>#DIV/0!</v>
      </c>
      <c r="J326" s="332"/>
    </row>
    <row r="327" spans="1:10" s="218" customFormat="1" ht="37.5" hidden="1" customHeight="1" x14ac:dyDescent="0.25">
      <c r="A327" s="342" t="s">
        <v>149</v>
      </c>
      <c r="B327" s="336">
        <v>903</v>
      </c>
      <c r="C327" s="338" t="s">
        <v>280</v>
      </c>
      <c r="D327" s="338" t="s">
        <v>280</v>
      </c>
      <c r="E327" s="338" t="s">
        <v>1221</v>
      </c>
      <c r="F327" s="338" t="s">
        <v>150</v>
      </c>
      <c r="G327" s="343">
        <v>0</v>
      </c>
      <c r="H327" s="343">
        <v>0</v>
      </c>
      <c r="I327" s="343" t="e">
        <f t="shared" si="18"/>
        <v>#DIV/0!</v>
      </c>
      <c r="J327" s="332"/>
    </row>
    <row r="328" spans="1:10" s="218" customFormat="1" ht="64.5" customHeight="1" x14ac:dyDescent="0.25">
      <c r="A328" s="340" t="s">
        <v>1198</v>
      </c>
      <c r="B328" s="337">
        <v>903</v>
      </c>
      <c r="C328" s="341" t="s">
        <v>280</v>
      </c>
      <c r="D328" s="341" t="s">
        <v>280</v>
      </c>
      <c r="E328" s="341" t="s">
        <v>954</v>
      </c>
      <c r="F328" s="341"/>
      <c r="G328" s="339">
        <f>G329</f>
        <v>455</v>
      </c>
      <c r="H328" s="339">
        <f>H329</f>
        <v>142.69999999999999</v>
      </c>
      <c r="I328" s="339">
        <f t="shared" si="18"/>
        <v>31.362637362637358</v>
      </c>
      <c r="J328" s="332"/>
    </row>
    <row r="329" spans="1:10" ht="15.75" customHeight="1" x14ac:dyDescent="0.25">
      <c r="A329" s="342" t="s">
        <v>1199</v>
      </c>
      <c r="B329" s="336">
        <v>903</v>
      </c>
      <c r="C329" s="338" t="s">
        <v>280</v>
      </c>
      <c r="D329" s="338" t="s">
        <v>280</v>
      </c>
      <c r="E329" s="338" t="s">
        <v>972</v>
      </c>
      <c r="F329" s="338"/>
      <c r="G329" s="343">
        <f>G332+G331</f>
        <v>455</v>
      </c>
      <c r="H329" s="343">
        <f>H332+H331</f>
        <v>142.69999999999999</v>
      </c>
      <c r="I329" s="343">
        <f t="shared" si="18"/>
        <v>31.362637362637358</v>
      </c>
    </row>
    <row r="330" spans="1:10" ht="63" customHeight="1" x14ac:dyDescent="0.25">
      <c r="A330" s="342" t="s">
        <v>143</v>
      </c>
      <c r="B330" s="336">
        <v>903</v>
      </c>
      <c r="C330" s="338" t="s">
        <v>280</v>
      </c>
      <c r="D330" s="338" t="s">
        <v>280</v>
      </c>
      <c r="E330" s="338" t="s">
        <v>972</v>
      </c>
      <c r="F330" s="338" t="s">
        <v>144</v>
      </c>
      <c r="G330" s="343">
        <f>G331</f>
        <v>40</v>
      </c>
      <c r="H330" s="343">
        <f>H331</f>
        <v>0</v>
      </c>
      <c r="I330" s="343">
        <f t="shared" si="18"/>
        <v>0</v>
      </c>
    </row>
    <row r="331" spans="1:10" ht="20.25" customHeight="1" x14ac:dyDescent="0.25">
      <c r="A331" s="342" t="s">
        <v>358</v>
      </c>
      <c r="B331" s="336">
        <v>903</v>
      </c>
      <c r="C331" s="338" t="s">
        <v>280</v>
      </c>
      <c r="D331" s="338" t="s">
        <v>280</v>
      </c>
      <c r="E331" s="338" t="s">
        <v>972</v>
      </c>
      <c r="F331" s="338" t="s">
        <v>225</v>
      </c>
      <c r="G331" s="343">
        <f>40</f>
        <v>40</v>
      </c>
      <c r="H331" s="343">
        <v>0</v>
      </c>
      <c r="I331" s="343">
        <f t="shared" ref="I331:I394" si="23">H331/G331*100</f>
        <v>0</v>
      </c>
    </row>
    <row r="332" spans="1:10" ht="27" customHeight="1" x14ac:dyDescent="0.25">
      <c r="A332" s="342" t="s">
        <v>147</v>
      </c>
      <c r="B332" s="336">
        <v>903</v>
      </c>
      <c r="C332" s="338" t="s">
        <v>280</v>
      </c>
      <c r="D332" s="338" t="s">
        <v>280</v>
      </c>
      <c r="E332" s="338" t="s">
        <v>972</v>
      </c>
      <c r="F332" s="338" t="s">
        <v>148</v>
      </c>
      <c r="G332" s="343">
        <f>G333</f>
        <v>415</v>
      </c>
      <c r="H332" s="343">
        <f>H333</f>
        <v>142.69999999999999</v>
      </c>
      <c r="I332" s="343">
        <f t="shared" si="23"/>
        <v>34.385542168674696</v>
      </c>
    </row>
    <row r="333" spans="1:10" ht="39.200000000000003" customHeight="1" x14ac:dyDescent="0.25">
      <c r="A333" s="342" t="s">
        <v>149</v>
      </c>
      <c r="B333" s="336">
        <v>903</v>
      </c>
      <c r="C333" s="338" t="s">
        <v>280</v>
      </c>
      <c r="D333" s="338" t="s">
        <v>280</v>
      </c>
      <c r="E333" s="338" t="s">
        <v>972</v>
      </c>
      <c r="F333" s="338" t="s">
        <v>150</v>
      </c>
      <c r="G333" s="343">
        <v>415</v>
      </c>
      <c r="H333" s="343">
        <v>142.69999999999999</v>
      </c>
      <c r="I333" s="343">
        <f t="shared" si="23"/>
        <v>34.385542168674696</v>
      </c>
    </row>
    <row r="334" spans="1:10" s="218" customFormat="1" ht="35.450000000000003" customHeight="1" x14ac:dyDescent="0.25">
      <c r="A334" s="340" t="s">
        <v>1204</v>
      </c>
      <c r="B334" s="337">
        <v>903</v>
      </c>
      <c r="C334" s="341" t="s">
        <v>280</v>
      </c>
      <c r="D334" s="341" t="s">
        <v>280</v>
      </c>
      <c r="E334" s="341" t="s">
        <v>1200</v>
      </c>
      <c r="F334" s="341"/>
      <c r="G334" s="339">
        <f t="shared" ref="G334:H336" si="24">G335</f>
        <v>25</v>
      </c>
      <c r="H334" s="339">
        <f t="shared" si="24"/>
        <v>0</v>
      </c>
      <c r="I334" s="339">
        <f t="shared" si="23"/>
        <v>0</v>
      </c>
      <c r="J334" s="332"/>
    </row>
    <row r="335" spans="1:10" s="218" customFormat="1" ht="39.75" customHeight="1" x14ac:dyDescent="0.25">
      <c r="A335" s="248" t="s">
        <v>1201</v>
      </c>
      <c r="B335" s="336">
        <v>903</v>
      </c>
      <c r="C335" s="338" t="s">
        <v>280</v>
      </c>
      <c r="D335" s="338" t="s">
        <v>280</v>
      </c>
      <c r="E335" s="338" t="s">
        <v>1222</v>
      </c>
      <c r="F335" s="338"/>
      <c r="G335" s="343">
        <f t="shared" si="24"/>
        <v>25</v>
      </c>
      <c r="H335" s="343">
        <f t="shared" si="24"/>
        <v>0</v>
      </c>
      <c r="I335" s="343">
        <f t="shared" si="23"/>
        <v>0</v>
      </c>
      <c r="J335" s="332"/>
    </row>
    <row r="336" spans="1:10" s="218" customFormat="1" ht="17.45" customHeight="1" x14ac:dyDescent="0.25">
      <c r="A336" s="342" t="s">
        <v>264</v>
      </c>
      <c r="B336" s="336">
        <v>903</v>
      </c>
      <c r="C336" s="338" t="s">
        <v>280</v>
      </c>
      <c r="D336" s="338" t="s">
        <v>280</v>
      </c>
      <c r="E336" s="338" t="s">
        <v>1222</v>
      </c>
      <c r="F336" s="338" t="s">
        <v>265</v>
      </c>
      <c r="G336" s="343">
        <f t="shared" si="24"/>
        <v>25</v>
      </c>
      <c r="H336" s="343">
        <f t="shared" si="24"/>
        <v>0</v>
      </c>
      <c r="I336" s="343">
        <f t="shared" si="23"/>
        <v>0</v>
      </c>
      <c r="J336" s="332"/>
    </row>
    <row r="337" spans="1:10" s="218" customFormat="1" ht="35.450000000000003" customHeight="1" x14ac:dyDescent="0.25">
      <c r="A337" s="342" t="s">
        <v>1489</v>
      </c>
      <c r="B337" s="336">
        <v>903</v>
      </c>
      <c r="C337" s="338" t="s">
        <v>280</v>
      </c>
      <c r="D337" s="338" t="s">
        <v>280</v>
      </c>
      <c r="E337" s="338" t="s">
        <v>1222</v>
      </c>
      <c r="F337" s="338" t="s">
        <v>1488</v>
      </c>
      <c r="G337" s="343">
        <v>25</v>
      </c>
      <c r="H337" s="343">
        <v>0</v>
      </c>
      <c r="I337" s="343">
        <f t="shared" si="23"/>
        <v>0</v>
      </c>
      <c r="J337" s="332"/>
    </row>
    <row r="338" spans="1:10" ht="15.75" x14ac:dyDescent="0.25">
      <c r="A338" s="340" t="s">
        <v>314</v>
      </c>
      <c r="B338" s="337">
        <v>903</v>
      </c>
      <c r="C338" s="341" t="s">
        <v>315</v>
      </c>
      <c r="D338" s="341"/>
      <c r="E338" s="341"/>
      <c r="F338" s="341"/>
      <c r="G338" s="339">
        <f>G339+G415</f>
        <v>72248.323000000004</v>
      </c>
      <c r="H338" s="339">
        <f>H339+H415</f>
        <v>32432.93</v>
      </c>
      <c r="I338" s="339">
        <f t="shared" si="23"/>
        <v>44.890910478295801</v>
      </c>
    </row>
    <row r="339" spans="1:10" ht="15.75" x14ac:dyDescent="0.25">
      <c r="A339" s="340" t="s">
        <v>316</v>
      </c>
      <c r="B339" s="337">
        <v>903</v>
      </c>
      <c r="C339" s="341" t="s">
        <v>315</v>
      </c>
      <c r="D339" s="341" t="s">
        <v>134</v>
      </c>
      <c r="E339" s="341"/>
      <c r="F339" s="341"/>
      <c r="G339" s="339">
        <f>G340+G410+G405</f>
        <v>54353.722999999998</v>
      </c>
      <c r="H339" s="339">
        <f>H340+H410+H405</f>
        <v>24101.48</v>
      </c>
      <c r="I339" s="339">
        <f t="shared" si="23"/>
        <v>44.341911960658152</v>
      </c>
    </row>
    <row r="340" spans="1:10" ht="35.450000000000003" customHeight="1" x14ac:dyDescent="0.25">
      <c r="A340" s="340" t="s">
        <v>282</v>
      </c>
      <c r="B340" s="337">
        <v>903</v>
      </c>
      <c r="C340" s="341" t="s">
        <v>315</v>
      </c>
      <c r="D340" s="341" t="s">
        <v>134</v>
      </c>
      <c r="E340" s="341" t="s">
        <v>283</v>
      </c>
      <c r="F340" s="341"/>
      <c r="G340" s="339">
        <f>G341+G371</f>
        <v>53419.123</v>
      </c>
      <c r="H340" s="339">
        <f>H341+H371</f>
        <v>23763.72</v>
      </c>
      <c r="I340" s="339">
        <f t="shared" si="23"/>
        <v>44.48541770331947</v>
      </c>
    </row>
    <row r="341" spans="1:10" ht="46.5" customHeight="1" x14ac:dyDescent="0.25">
      <c r="A341" s="340" t="s">
        <v>317</v>
      </c>
      <c r="B341" s="337">
        <v>903</v>
      </c>
      <c r="C341" s="341" t="s">
        <v>315</v>
      </c>
      <c r="D341" s="341" t="s">
        <v>134</v>
      </c>
      <c r="E341" s="341" t="s">
        <v>318</v>
      </c>
      <c r="F341" s="341"/>
      <c r="G341" s="339">
        <f>G342+G350+G356+G360+G367</f>
        <v>29748.222999999998</v>
      </c>
      <c r="H341" s="339">
        <f>H342+H350+H356+H360+H367</f>
        <v>13693.05</v>
      </c>
      <c r="I341" s="339">
        <f t="shared" si="23"/>
        <v>46.02980823425991</v>
      </c>
    </row>
    <row r="342" spans="1:10" s="218" customFormat="1" ht="30.2" customHeight="1" x14ac:dyDescent="0.25">
      <c r="A342" s="340" t="s">
        <v>956</v>
      </c>
      <c r="B342" s="337">
        <v>903</v>
      </c>
      <c r="C342" s="341" t="s">
        <v>315</v>
      </c>
      <c r="D342" s="341" t="s">
        <v>134</v>
      </c>
      <c r="E342" s="341" t="s">
        <v>957</v>
      </c>
      <c r="F342" s="341"/>
      <c r="G342" s="339">
        <f>G343</f>
        <v>25834</v>
      </c>
      <c r="H342" s="339">
        <f>H343</f>
        <v>12584.92</v>
      </c>
      <c r="I342" s="339">
        <f t="shared" si="23"/>
        <v>48.714562204846331</v>
      </c>
      <c r="J342" s="332"/>
    </row>
    <row r="343" spans="1:10" s="218" customFormat="1" ht="17.45" customHeight="1" x14ac:dyDescent="0.25">
      <c r="A343" s="342" t="s">
        <v>832</v>
      </c>
      <c r="B343" s="336">
        <v>903</v>
      </c>
      <c r="C343" s="338" t="s">
        <v>315</v>
      </c>
      <c r="D343" s="338" t="s">
        <v>134</v>
      </c>
      <c r="E343" s="338" t="s">
        <v>955</v>
      </c>
      <c r="F343" s="338"/>
      <c r="G343" s="343">
        <f>G344+G346+G348</f>
        <v>25834</v>
      </c>
      <c r="H343" s="343">
        <f>H344+H346+H348</f>
        <v>12584.92</v>
      </c>
      <c r="I343" s="343">
        <f t="shared" si="23"/>
        <v>48.714562204846331</v>
      </c>
      <c r="J343" s="332"/>
    </row>
    <row r="344" spans="1:10" s="218" customFormat="1" ht="46.5" customHeight="1" x14ac:dyDescent="0.25">
      <c r="A344" s="342" t="s">
        <v>143</v>
      </c>
      <c r="B344" s="336">
        <v>903</v>
      </c>
      <c r="C344" s="338" t="s">
        <v>315</v>
      </c>
      <c r="D344" s="338" t="s">
        <v>134</v>
      </c>
      <c r="E344" s="338" t="s">
        <v>955</v>
      </c>
      <c r="F344" s="338" t="s">
        <v>144</v>
      </c>
      <c r="G344" s="343">
        <f>G345</f>
        <v>20047.5</v>
      </c>
      <c r="H344" s="343">
        <f>H345</f>
        <v>9389.6</v>
      </c>
      <c r="I344" s="343">
        <f t="shared" si="23"/>
        <v>46.836762688614542</v>
      </c>
      <c r="J344" s="332"/>
    </row>
    <row r="345" spans="1:10" s="218" customFormat="1" ht="33" customHeight="1" x14ac:dyDescent="0.25">
      <c r="A345" s="342" t="s">
        <v>224</v>
      </c>
      <c r="B345" s="336">
        <v>903</v>
      </c>
      <c r="C345" s="338" t="s">
        <v>315</v>
      </c>
      <c r="D345" s="338" t="s">
        <v>134</v>
      </c>
      <c r="E345" s="338" t="s">
        <v>955</v>
      </c>
      <c r="F345" s="338" t="s">
        <v>225</v>
      </c>
      <c r="G345" s="344">
        <f>20032+15.5</f>
        <v>20047.5</v>
      </c>
      <c r="H345" s="344">
        <v>9389.6</v>
      </c>
      <c r="I345" s="343">
        <f t="shared" si="23"/>
        <v>46.836762688614542</v>
      </c>
      <c r="J345" s="332"/>
    </row>
    <row r="346" spans="1:10" s="218" customFormat="1" ht="36.75" customHeight="1" x14ac:dyDescent="0.25">
      <c r="A346" s="342" t="s">
        <v>147</v>
      </c>
      <c r="B346" s="336">
        <v>903</v>
      </c>
      <c r="C346" s="338" t="s">
        <v>315</v>
      </c>
      <c r="D346" s="338" t="s">
        <v>134</v>
      </c>
      <c r="E346" s="338" t="s">
        <v>955</v>
      </c>
      <c r="F346" s="338" t="s">
        <v>148</v>
      </c>
      <c r="G346" s="343">
        <f>G347</f>
        <v>5666.5</v>
      </c>
      <c r="H346" s="343">
        <f>H347</f>
        <v>3079.22</v>
      </c>
      <c r="I346" s="343">
        <f t="shared" si="23"/>
        <v>54.340774728668485</v>
      </c>
      <c r="J346" s="332"/>
    </row>
    <row r="347" spans="1:10" s="218" customFormat="1" ht="33" customHeight="1" x14ac:dyDescent="0.25">
      <c r="A347" s="342" t="s">
        <v>149</v>
      </c>
      <c r="B347" s="336">
        <v>903</v>
      </c>
      <c r="C347" s="338" t="s">
        <v>315</v>
      </c>
      <c r="D347" s="338" t="s">
        <v>134</v>
      </c>
      <c r="E347" s="338" t="s">
        <v>955</v>
      </c>
      <c r="F347" s="338" t="s">
        <v>150</v>
      </c>
      <c r="G347" s="344">
        <f>4715-1000+1400+570-18.5</f>
        <v>5666.5</v>
      </c>
      <c r="H347" s="344">
        <v>3079.22</v>
      </c>
      <c r="I347" s="343">
        <f t="shared" si="23"/>
        <v>54.340774728668485</v>
      </c>
      <c r="J347" s="332"/>
    </row>
    <row r="348" spans="1:10" s="218" customFormat="1" ht="18" customHeight="1" x14ac:dyDescent="0.25">
      <c r="A348" s="342" t="s">
        <v>151</v>
      </c>
      <c r="B348" s="336">
        <v>903</v>
      </c>
      <c r="C348" s="338" t="s">
        <v>315</v>
      </c>
      <c r="D348" s="338" t="s">
        <v>134</v>
      </c>
      <c r="E348" s="338" t="s">
        <v>955</v>
      </c>
      <c r="F348" s="338" t="s">
        <v>161</v>
      </c>
      <c r="G348" s="343">
        <f>G349</f>
        <v>120</v>
      </c>
      <c r="H348" s="343">
        <f>H349</f>
        <v>116.1</v>
      </c>
      <c r="I348" s="343">
        <f t="shared" si="23"/>
        <v>96.749999999999986</v>
      </c>
      <c r="J348" s="332"/>
    </row>
    <row r="349" spans="1:10" s="218" customFormat="1" ht="16.5" customHeight="1" x14ac:dyDescent="0.25">
      <c r="A349" s="342" t="s">
        <v>584</v>
      </c>
      <c r="B349" s="336">
        <v>903</v>
      </c>
      <c r="C349" s="338" t="s">
        <v>315</v>
      </c>
      <c r="D349" s="338" t="s">
        <v>134</v>
      </c>
      <c r="E349" s="338" t="s">
        <v>955</v>
      </c>
      <c r="F349" s="338" t="s">
        <v>154</v>
      </c>
      <c r="G349" s="343">
        <f>37+80+3</f>
        <v>120</v>
      </c>
      <c r="H349" s="343">
        <v>116.1</v>
      </c>
      <c r="I349" s="343">
        <f t="shared" si="23"/>
        <v>96.749999999999986</v>
      </c>
      <c r="J349" s="332"/>
    </row>
    <row r="350" spans="1:10" s="218" customFormat="1" ht="35.450000000000003" customHeight="1" x14ac:dyDescent="0.25">
      <c r="A350" s="229" t="s">
        <v>970</v>
      </c>
      <c r="B350" s="337">
        <v>903</v>
      </c>
      <c r="C350" s="341" t="s">
        <v>315</v>
      </c>
      <c r="D350" s="341" t="s">
        <v>134</v>
      </c>
      <c r="E350" s="341" t="s">
        <v>958</v>
      </c>
      <c r="F350" s="341"/>
      <c r="G350" s="339">
        <f>G351</f>
        <v>1171</v>
      </c>
      <c r="H350" s="339">
        <f>H351</f>
        <v>378.8</v>
      </c>
      <c r="I350" s="339">
        <f t="shared" si="23"/>
        <v>32.348420153714777</v>
      </c>
      <c r="J350" s="332"/>
    </row>
    <row r="351" spans="1:10" ht="35.450000000000003" customHeight="1" x14ac:dyDescent="0.25">
      <c r="A351" s="31" t="s">
        <v>860</v>
      </c>
      <c r="B351" s="336">
        <v>903</v>
      </c>
      <c r="C351" s="338" t="s">
        <v>315</v>
      </c>
      <c r="D351" s="338" t="s">
        <v>134</v>
      </c>
      <c r="E351" s="338" t="s">
        <v>959</v>
      </c>
      <c r="F351" s="338"/>
      <c r="G351" s="344">
        <f>G354+G352</f>
        <v>1171</v>
      </c>
      <c r="H351" s="344">
        <f>H354+H352</f>
        <v>378.8</v>
      </c>
      <c r="I351" s="343">
        <f t="shared" si="23"/>
        <v>32.348420153714777</v>
      </c>
    </row>
    <row r="352" spans="1:10" ht="66.2" customHeight="1" x14ac:dyDescent="0.25">
      <c r="A352" s="342" t="s">
        <v>143</v>
      </c>
      <c r="B352" s="336">
        <v>903</v>
      </c>
      <c r="C352" s="338" t="s">
        <v>315</v>
      </c>
      <c r="D352" s="338" t="s">
        <v>134</v>
      </c>
      <c r="E352" s="338" t="s">
        <v>959</v>
      </c>
      <c r="F352" s="338" t="s">
        <v>144</v>
      </c>
      <c r="G352" s="344">
        <f>G353</f>
        <v>455.4</v>
      </c>
      <c r="H352" s="344">
        <f>H353</f>
        <v>26.7</v>
      </c>
      <c r="I352" s="343">
        <f t="shared" si="23"/>
        <v>5.8629776021080371</v>
      </c>
    </row>
    <row r="353" spans="1:10" ht="20.25" customHeight="1" x14ac:dyDescent="0.25">
      <c r="A353" s="342" t="s">
        <v>224</v>
      </c>
      <c r="B353" s="336">
        <v>903</v>
      </c>
      <c r="C353" s="338" t="s">
        <v>315</v>
      </c>
      <c r="D353" s="338" t="s">
        <v>134</v>
      </c>
      <c r="E353" s="338" t="s">
        <v>959</v>
      </c>
      <c r="F353" s="338" t="s">
        <v>225</v>
      </c>
      <c r="G353" s="344">
        <v>455.4</v>
      </c>
      <c r="H353" s="344">
        <v>26.7</v>
      </c>
      <c r="I353" s="343">
        <f t="shared" si="23"/>
        <v>5.8629776021080371</v>
      </c>
    </row>
    <row r="354" spans="1:10" ht="33.75" customHeight="1" x14ac:dyDescent="0.25">
      <c r="A354" s="342" t="s">
        <v>147</v>
      </c>
      <c r="B354" s="336">
        <v>903</v>
      </c>
      <c r="C354" s="338" t="s">
        <v>315</v>
      </c>
      <c r="D354" s="338" t="s">
        <v>134</v>
      </c>
      <c r="E354" s="338" t="s">
        <v>959</v>
      </c>
      <c r="F354" s="338" t="s">
        <v>148</v>
      </c>
      <c r="G354" s="344">
        <f>G355</f>
        <v>715.6</v>
      </c>
      <c r="H354" s="344">
        <f>H355</f>
        <v>352.1</v>
      </c>
      <c r="I354" s="343">
        <f t="shared" si="23"/>
        <v>49.203465623253216</v>
      </c>
    </row>
    <row r="355" spans="1:10" ht="36.75" customHeight="1" x14ac:dyDescent="0.25">
      <c r="A355" s="342" t="s">
        <v>149</v>
      </c>
      <c r="B355" s="336">
        <v>903</v>
      </c>
      <c r="C355" s="338" t="s">
        <v>315</v>
      </c>
      <c r="D355" s="338" t="s">
        <v>134</v>
      </c>
      <c r="E355" s="338" t="s">
        <v>959</v>
      </c>
      <c r="F355" s="338" t="s">
        <v>150</v>
      </c>
      <c r="G355" s="344">
        <f>250+921-455.4</f>
        <v>715.6</v>
      </c>
      <c r="H355" s="344">
        <v>352.1</v>
      </c>
      <c r="I355" s="343">
        <f t="shared" si="23"/>
        <v>49.203465623253216</v>
      </c>
    </row>
    <row r="356" spans="1:10" s="218" customFormat="1" ht="36.75" customHeight="1" x14ac:dyDescent="0.25">
      <c r="A356" s="340" t="s">
        <v>1076</v>
      </c>
      <c r="B356" s="337">
        <v>903</v>
      </c>
      <c r="C356" s="341" t="s">
        <v>315</v>
      </c>
      <c r="D356" s="341" t="s">
        <v>134</v>
      </c>
      <c r="E356" s="341" t="s">
        <v>1164</v>
      </c>
      <c r="F356" s="341"/>
      <c r="G356" s="44">
        <f t="shared" ref="G356:H358" si="25">G357</f>
        <v>588</v>
      </c>
      <c r="H356" s="44">
        <f t="shared" si="25"/>
        <v>578.9</v>
      </c>
      <c r="I356" s="339">
        <f t="shared" si="23"/>
        <v>98.452380952380949</v>
      </c>
      <c r="J356" s="332"/>
    </row>
    <row r="357" spans="1:10" s="218" customFormat="1" ht="36.75" customHeight="1" x14ac:dyDescent="0.25">
      <c r="A357" s="342" t="s">
        <v>885</v>
      </c>
      <c r="B357" s="336">
        <v>903</v>
      </c>
      <c r="C357" s="338" t="s">
        <v>315</v>
      </c>
      <c r="D357" s="338" t="s">
        <v>134</v>
      </c>
      <c r="E357" s="338" t="s">
        <v>1165</v>
      </c>
      <c r="F357" s="338"/>
      <c r="G357" s="343">
        <f t="shared" si="25"/>
        <v>588</v>
      </c>
      <c r="H357" s="343">
        <f t="shared" si="25"/>
        <v>578.9</v>
      </c>
      <c r="I357" s="343">
        <f t="shared" si="23"/>
        <v>98.452380952380949</v>
      </c>
      <c r="J357" s="332"/>
    </row>
    <row r="358" spans="1:10" s="218" customFormat="1" ht="62.45" customHeight="1" x14ac:dyDescent="0.25">
      <c r="A358" s="342" t="s">
        <v>143</v>
      </c>
      <c r="B358" s="336">
        <v>903</v>
      </c>
      <c r="C358" s="338" t="s">
        <v>315</v>
      </c>
      <c r="D358" s="338" t="s">
        <v>134</v>
      </c>
      <c r="E358" s="338" t="s">
        <v>1165</v>
      </c>
      <c r="F358" s="338" t="s">
        <v>144</v>
      </c>
      <c r="G358" s="343">
        <f t="shared" si="25"/>
        <v>588</v>
      </c>
      <c r="H358" s="343">
        <f t="shared" si="25"/>
        <v>578.9</v>
      </c>
      <c r="I358" s="343">
        <f t="shared" si="23"/>
        <v>98.452380952380949</v>
      </c>
      <c r="J358" s="332"/>
    </row>
    <row r="359" spans="1:10" s="218" customFormat="1" ht="36.75" customHeight="1" x14ac:dyDescent="0.25">
      <c r="A359" s="342" t="s">
        <v>145</v>
      </c>
      <c r="B359" s="336">
        <v>903</v>
      </c>
      <c r="C359" s="338" t="s">
        <v>315</v>
      </c>
      <c r="D359" s="338" t="s">
        <v>134</v>
      </c>
      <c r="E359" s="338" t="s">
        <v>1165</v>
      </c>
      <c r="F359" s="338" t="s">
        <v>225</v>
      </c>
      <c r="G359" s="343">
        <v>588</v>
      </c>
      <c r="H359" s="343">
        <v>578.9</v>
      </c>
      <c r="I359" s="343">
        <f t="shared" si="23"/>
        <v>98.452380952380949</v>
      </c>
      <c r="J359" s="332"/>
    </row>
    <row r="360" spans="1:10" s="218" customFormat="1" ht="36.75" customHeight="1" x14ac:dyDescent="0.25">
      <c r="A360" s="230" t="s">
        <v>971</v>
      </c>
      <c r="B360" s="337">
        <v>903</v>
      </c>
      <c r="C360" s="341" t="s">
        <v>315</v>
      </c>
      <c r="D360" s="341" t="s">
        <v>134</v>
      </c>
      <c r="E360" s="341" t="s">
        <v>1166</v>
      </c>
      <c r="F360" s="341"/>
      <c r="G360" s="339">
        <f>G364+G361</f>
        <v>824.3</v>
      </c>
      <c r="H360" s="339">
        <f>H364+H361</f>
        <v>150.43</v>
      </c>
      <c r="I360" s="339">
        <f t="shared" si="23"/>
        <v>18.249423753487807</v>
      </c>
      <c r="J360" s="332"/>
    </row>
    <row r="361" spans="1:10" s="332" customFormat="1" ht="81" customHeight="1" x14ac:dyDescent="0.25">
      <c r="A361" s="31" t="s">
        <v>309</v>
      </c>
      <c r="B361" s="336">
        <v>903</v>
      </c>
      <c r="C361" s="338" t="s">
        <v>315</v>
      </c>
      <c r="D361" s="338" t="s">
        <v>134</v>
      </c>
      <c r="E361" s="338" t="s">
        <v>1523</v>
      </c>
      <c r="F361" s="341"/>
      <c r="G361" s="343">
        <f>G362</f>
        <v>749.3</v>
      </c>
      <c r="H361" s="343">
        <f>H362</f>
        <v>75.86</v>
      </c>
      <c r="I361" s="343">
        <f t="shared" si="23"/>
        <v>10.124115841452022</v>
      </c>
    </row>
    <row r="362" spans="1:10" s="332" customFormat="1" ht="69.75" customHeight="1" x14ac:dyDescent="0.25">
      <c r="A362" s="342" t="s">
        <v>143</v>
      </c>
      <c r="B362" s="336">
        <v>903</v>
      </c>
      <c r="C362" s="338" t="s">
        <v>315</v>
      </c>
      <c r="D362" s="338" t="s">
        <v>134</v>
      </c>
      <c r="E362" s="338" t="s">
        <v>1523</v>
      </c>
      <c r="F362" s="338" t="s">
        <v>144</v>
      </c>
      <c r="G362" s="343">
        <f>G363</f>
        <v>749.3</v>
      </c>
      <c r="H362" s="343">
        <f>H363</f>
        <v>75.86</v>
      </c>
      <c r="I362" s="343">
        <f t="shared" si="23"/>
        <v>10.124115841452022</v>
      </c>
    </row>
    <row r="363" spans="1:10" s="332" customFormat="1" ht="36.75" customHeight="1" x14ac:dyDescent="0.25">
      <c r="A363" s="342" t="s">
        <v>224</v>
      </c>
      <c r="B363" s="336">
        <v>903</v>
      </c>
      <c r="C363" s="338" t="s">
        <v>315</v>
      </c>
      <c r="D363" s="338" t="s">
        <v>134</v>
      </c>
      <c r="E363" s="338" t="s">
        <v>1523</v>
      </c>
      <c r="F363" s="338" t="s">
        <v>225</v>
      </c>
      <c r="G363" s="343">
        <v>749.3</v>
      </c>
      <c r="H363" s="343">
        <v>75.86</v>
      </c>
      <c r="I363" s="343">
        <f t="shared" si="23"/>
        <v>10.124115841452022</v>
      </c>
    </row>
    <row r="364" spans="1:10" s="218" customFormat="1" ht="79.5" customHeight="1" x14ac:dyDescent="0.25">
      <c r="A364" s="31" t="s">
        <v>309</v>
      </c>
      <c r="B364" s="336">
        <v>903</v>
      </c>
      <c r="C364" s="338" t="s">
        <v>315</v>
      </c>
      <c r="D364" s="338" t="s">
        <v>134</v>
      </c>
      <c r="E364" s="338" t="s">
        <v>1167</v>
      </c>
      <c r="F364" s="338"/>
      <c r="G364" s="343">
        <f>G365</f>
        <v>75</v>
      </c>
      <c r="H364" s="343">
        <f>H365</f>
        <v>74.569999999999993</v>
      </c>
      <c r="I364" s="343">
        <f t="shared" si="23"/>
        <v>99.426666666666648</v>
      </c>
      <c r="J364" s="332"/>
    </row>
    <row r="365" spans="1:10" s="218" customFormat="1" ht="66.2" customHeight="1" x14ac:dyDescent="0.25">
      <c r="A365" s="342" t="s">
        <v>143</v>
      </c>
      <c r="B365" s="336">
        <v>903</v>
      </c>
      <c r="C365" s="338" t="s">
        <v>315</v>
      </c>
      <c r="D365" s="338" t="s">
        <v>134</v>
      </c>
      <c r="E365" s="338" t="s">
        <v>1167</v>
      </c>
      <c r="F365" s="338" t="s">
        <v>144</v>
      </c>
      <c r="G365" s="343">
        <f>G366</f>
        <v>75</v>
      </c>
      <c r="H365" s="343">
        <f>H366</f>
        <v>74.569999999999993</v>
      </c>
      <c r="I365" s="343">
        <f t="shared" si="23"/>
        <v>99.426666666666648</v>
      </c>
      <c r="J365" s="332"/>
    </row>
    <row r="366" spans="1:10" s="218" customFormat="1" ht="21.75" customHeight="1" x14ac:dyDescent="0.25">
      <c r="A366" s="342" t="s">
        <v>224</v>
      </c>
      <c r="B366" s="336">
        <v>903</v>
      </c>
      <c r="C366" s="338" t="s">
        <v>315</v>
      </c>
      <c r="D366" s="338" t="s">
        <v>134</v>
      </c>
      <c r="E366" s="338" t="s">
        <v>1167</v>
      </c>
      <c r="F366" s="338" t="s">
        <v>225</v>
      </c>
      <c r="G366" s="343">
        <f>724.29+100+0.01-749.3</f>
        <v>75</v>
      </c>
      <c r="H366" s="343">
        <v>74.569999999999993</v>
      </c>
      <c r="I366" s="343">
        <f t="shared" si="23"/>
        <v>99.426666666666648</v>
      </c>
      <c r="J366" s="332"/>
    </row>
    <row r="367" spans="1:10" s="218" customFormat="1" ht="31.7" customHeight="1" x14ac:dyDescent="0.25">
      <c r="A367" s="223" t="s">
        <v>1404</v>
      </c>
      <c r="B367" s="337">
        <v>903</v>
      </c>
      <c r="C367" s="341" t="s">
        <v>315</v>
      </c>
      <c r="D367" s="341" t="s">
        <v>134</v>
      </c>
      <c r="E367" s="341" t="s">
        <v>1405</v>
      </c>
      <c r="F367" s="341"/>
      <c r="G367" s="339">
        <f t="shared" ref="G367:H369" si="26">G368</f>
        <v>1330.923</v>
      </c>
      <c r="H367" s="339">
        <f t="shared" si="26"/>
        <v>0</v>
      </c>
      <c r="I367" s="339">
        <f t="shared" si="23"/>
        <v>0</v>
      </c>
      <c r="J367" s="332"/>
    </row>
    <row r="368" spans="1:10" s="218" customFormat="1" ht="48.2" customHeight="1" x14ac:dyDescent="0.25">
      <c r="A368" s="99" t="s">
        <v>1406</v>
      </c>
      <c r="B368" s="336">
        <v>903</v>
      </c>
      <c r="C368" s="338" t="s">
        <v>315</v>
      </c>
      <c r="D368" s="338" t="s">
        <v>134</v>
      </c>
      <c r="E368" s="338" t="s">
        <v>1407</v>
      </c>
      <c r="F368" s="338"/>
      <c r="G368" s="343">
        <f t="shared" si="26"/>
        <v>1330.923</v>
      </c>
      <c r="H368" s="343">
        <f t="shared" si="26"/>
        <v>0</v>
      </c>
      <c r="I368" s="343">
        <f t="shared" si="23"/>
        <v>0</v>
      </c>
      <c r="J368" s="332"/>
    </row>
    <row r="369" spans="1:10" s="218" customFormat="1" ht="35.450000000000003" customHeight="1" x14ac:dyDescent="0.25">
      <c r="A369" s="342" t="s">
        <v>147</v>
      </c>
      <c r="B369" s="336">
        <v>903</v>
      </c>
      <c r="C369" s="338" t="s">
        <v>315</v>
      </c>
      <c r="D369" s="338" t="s">
        <v>134</v>
      </c>
      <c r="E369" s="338" t="s">
        <v>1407</v>
      </c>
      <c r="F369" s="338" t="s">
        <v>148</v>
      </c>
      <c r="G369" s="343">
        <f t="shared" si="26"/>
        <v>1330.923</v>
      </c>
      <c r="H369" s="343">
        <f t="shared" si="26"/>
        <v>0</v>
      </c>
      <c r="I369" s="343">
        <f t="shared" si="23"/>
        <v>0</v>
      </c>
      <c r="J369" s="332"/>
    </row>
    <row r="370" spans="1:10" s="218" customFormat="1" ht="34.5" customHeight="1" x14ac:dyDescent="0.25">
      <c r="A370" s="342" t="s">
        <v>149</v>
      </c>
      <c r="B370" s="336">
        <v>903</v>
      </c>
      <c r="C370" s="338" t="s">
        <v>315</v>
      </c>
      <c r="D370" s="338" t="s">
        <v>134</v>
      </c>
      <c r="E370" s="338" t="s">
        <v>1407</v>
      </c>
      <c r="F370" s="338" t="s">
        <v>150</v>
      </c>
      <c r="G370" s="343">
        <f>1253.5+77.423</f>
        <v>1330.923</v>
      </c>
      <c r="H370" s="343">
        <v>0</v>
      </c>
      <c r="I370" s="343">
        <f t="shared" si="23"/>
        <v>0</v>
      </c>
      <c r="J370" s="332"/>
    </row>
    <row r="371" spans="1:10" ht="37.5" customHeight="1" x14ac:dyDescent="0.25">
      <c r="A371" s="340" t="s">
        <v>328</v>
      </c>
      <c r="B371" s="337">
        <v>903</v>
      </c>
      <c r="C371" s="341" t="s">
        <v>315</v>
      </c>
      <c r="D371" s="341" t="s">
        <v>134</v>
      </c>
      <c r="E371" s="341" t="s">
        <v>329</v>
      </c>
      <c r="F371" s="341"/>
      <c r="G371" s="339">
        <f>G372+G380+G388+G395+G384</f>
        <v>23670.9</v>
      </c>
      <c r="H371" s="339">
        <f>H372+H380+H388+H395+H384</f>
        <v>10070.670000000002</v>
      </c>
      <c r="I371" s="339">
        <f t="shared" si="23"/>
        <v>42.544516685043668</v>
      </c>
    </row>
    <row r="372" spans="1:10" s="218" customFormat="1" ht="37.5" customHeight="1" x14ac:dyDescent="0.25">
      <c r="A372" s="340" t="s">
        <v>956</v>
      </c>
      <c r="B372" s="337">
        <v>903</v>
      </c>
      <c r="C372" s="341" t="s">
        <v>315</v>
      </c>
      <c r="D372" s="341" t="s">
        <v>134</v>
      </c>
      <c r="E372" s="341" t="s">
        <v>960</v>
      </c>
      <c r="F372" s="341"/>
      <c r="G372" s="339">
        <f>G373</f>
        <v>21449.200000000001</v>
      </c>
      <c r="H372" s="339">
        <f>H373</f>
        <v>9386.19</v>
      </c>
      <c r="I372" s="339">
        <f t="shared" si="23"/>
        <v>43.760093616545142</v>
      </c>
      <c r="J372" s="332"/>
    </row>
    <row r="373" spans="1:10" s="218" customFormat="1" ht="18" customHeight="1" x14ac:dyDescent="0.25">
      <c r="A373" s="342" t="s">
        <v>832</v>
      </c>
      <c r="B373" s="336">
        <v>903</v>
      </c>
      <c r="C373" s="338" t="s">
        <v>315</v>
      </c>
      <c r="D373" s="338" t="s">
        <v>134</v>
      </c>
      <c r="E373" s="338" t="s">
        <v>961</v>
      </c>
      <c r="F373" s="338"/>
      <c r="G373" s="343">
        <f>G374+G376+G378</f>
        <v>21449.200000000001</v>
      </c>
      <c r="H373" s="343">
        <f>H374+H376+H378</f>
        <v>9386.19</v>
      </c>
      <c r="I373" s="343">
        <f t="shared" si="23"/>
        <v>43.760093616545142</v>
      </c>
      <c r="J373" s="332"/>
    </row>
    <row r="374" spans="1:10" s="218" customFormat="1" ht="60.75" customHeight="1" x14ac:dyDescent="0.25">
      <c r="A374" s="342" t="s">
        <v>143</v>
      </c>
      <c r="B374" s="336">
        <v>903</v>
      </c>
      <c r="C374" s="338" t="s">
        <v>315</v>
      </c>
      <c r="D374" s="338" t="s">
        <v>134</v>
      </c>
      <c r="E374" s="338" t="s">
        <v>961</v>
      </c>
      <c r="F374" s="338" t="s">
        <v>144</v>
      </c>
      <c r="G374" s="343">
        <f>G375</f>
        <v>17673.2</v>
      </c>
      <c r="H374" s="343">
        <f>H375</f>
        <v>7919.89</v>
      </c>
      <c r="I374" s="343">
        <f t="shared" si="23"/>
        <v>44.812993685354094</v>
      </c>
      <c r="J374" s="332"/>
    </row>
    <row r="375" spans="1:10" s="218" customFormat="1" ht="18.75" customHeight="1" x14ac:dyDescent="0.25">
      <c r="A375" s="342" t="s">
        <v>224</v>
      </c>
      <c r="B375" s="336">
        <v>903</v>
      </c>
      <c r="C375" s="338" t="s">
        <v>315</v>
      </c>
      <c r="D375" s="338" t="s">
        <v>134</v>
      </c>
      <c r="E375" s="338" t="s">
        <v>961</v>
      </c>
      <c r="F375" s="338" t="s">
        <v>225</v>
      </c>
      <c r="G375" s="344">
        <f>19218-1544.8</f>
        <v>17673.2</v>
      </c>
      <c r="H375" s="344">
        <v>7919.89</v>
      </c>
      <c r="I375" s="343">
        <f t="shared" si="23"/>
        <v>44.812993685354094</v>
      </c>
      <c r="J375" s="332"/>
    </row>
    <row r="376" spans="1:10" s="218" customFormat="1" ht="37.5" customHeight="1" x14ac:dyDescent="0.25">
      <c r="A376" s="342" t="s">
        <v>147</v>
      </c>
      <c r="B376" s="336">
        <v>903</v>
      </c>
      <c r="C376" s="338" t="s">
        <v>315</v>
      </c>
      <c r="D376" s="338" t="s">
        <v>134</v>
      </c>
      <c r="E376" s="338" t="s">
        <v>961</v>
      </c>
      <c r="F376" s="338" t="s">
        <v>148</v>
      </c>
      <c r="G376" s="343">
        <f>G377</f>
        <v>3749.7</v>
      </c>
      <c r="H376" s="343">
        <f>H377</f>
        <v>1446.4</v>
      </c>
      <c r="I376" s="343">
        <f t="shared" si="23"/>
        <v>38.573752566872024</v>
      </c>
      <c r="J376" s="332"/>
    </row>
    <row r="377" spans="1:10" s="218" customFormat="1" ht="37.5" customHeight="1" x14ac:dyDescent="0.25">
      <c r="A377" s="342" t="s">
        <v>149</v>
      </c>
      <c r="B377" s="336">
        <v>903</v>
      </c>
      <c r="C377" s="338" t="s">
        <v>315</v>
      </c>
      <c r="D377" s="338" t="s">
        <v>134</v>
      </c>
      <c r="E377" s="338" t="s">
        <v>961</v>
      </c>
      <c r="F377" s="338" t="s">
        <v>150</v>
      </c>
      <c r="G377" s="344">
        <f>3450-500+500+300-0.3</f>
        <v>3749.7</v>
      </c>
      <c r="H377" s="344">
        <v>1446.4</v>
      </c>
      <c r="I377" s="343">
        <f t="shared" si="23"/>
        <v>38.573752566872024</v>
      </c>
      <c r="J377" s="332"/>
    </row>
    <row r="378" spans="1:10" s="218" customFormat="1" ht="21.2" customHeight="1" x14ac:dyDescent="0.25">
      <c r="A378" s="342" t="s">
        <v>151</v>
      </c>
      <c r="B378" s="336">
        <v>903</v>
      </c>
      <c r="C378" s="338" t="s">
        <v>315</v>
      </c>
      <c r="D378" s="338" t="s">
        <v>134</v>
      </c>
      <c r="E378" s="338" t="s">
        <v>961</v>
      </c>
      <c r="F378" s="338" t="s">
        <v>161</v>
      </c>
      <c r="G378" s="343">
        <f>G379</f>
        <v>26.3</v>
      </c>
      <c r="H378" s="343">
        <f>H379</f>
        <v>19.899999999999999</v>
      </c>
      <c r="I378" s="343">
        <f t="shared" si="23"/>
        <v>75.665399239543717</v>
      </c>
      <c r="J378" s="332"/>
    </row>
    <row r="379" spans="1:10" s="218" customFormat="1" ht="22.7" customHeight="1" x14ac:dyDescent="0.25">
      <c r="A379" s="342" t="s">
        <v>584</v>
      </c>
      <c r="B379" s="336">
        <v>903</v>
      </c>
      <c r="C379" s="338" t="s">
        <v>315</v>
      </c>
      <c r="D379" s="338" t="s">
        <v>134</v>
      </c>
      <c r="E379" s="338" t="s">
        <v>961</v>
      </c>
      <c r="F379" s="338" t="s">
        <v>154</v>
      </c>
      <c r="G379" s="343">
        <f>26+0.3</f>
        <v>26.3</v>
      </c>
      <c r="H379" s="343">
        <v>19.899999999999999</v>
      </c>
      <c r="I379" s="343">
        <f t="shared" si="23"/>
        <v>75.665399239543717</v>
      </c>
      <c r="J379" s="332"/>
    </row>
    <row r="380" spans="1:10" s="218" customFormat="1" ht="33" customHeight="1" x14ac:dyDescent="0.25">
      <c r="A380" s="340" t="s">
        <v>973</v>
      </c>
      <c r="B380" s="337">
        <v>903</v>
      </c>
      <c r="C380" s="341" t="s">
        <v>315</v>
      </c>
      <c r="D380" s="341" t="s">
        <v>134</v>
      </c>
      <c r="E380" s="341" t="s">
        <v>962</v>
      </c>
      <c r="F380" s="341"/>
      <c r="G380" s="339">
        <f t="shared" ref="G380:H382" si="27">G381</f>
        <v>50</v>
      </c>
      <c r="H380" s="339">
        <f t="shared" si="27"/>
        <v>37.58</v>
      </c>
      <c r="I380" s="339">
        <f t="shared" si="23"/>
        <v>75.16</v>
      </c>
      <c r="J380" s="332"/>
    </row>
    <row r="381" spans="1:10" s="218" customFormat="1" ht="32.25" customHeight="1" x14ac:dyDescent="0.25">
      <c r="A381" s="342" t="s">
        <v>866</v>
      </c>
      <c r="B381" s="336">
        <v>903</v>
      </c>
      <c r="C381" s="338" t="s">
        <v>315</v>
      </c>
      <c r="D381" s="338" t="s">
        <v>134</v>
      </c>
      <c r="E381" s="338" t="s">
        <v>963</v>
      </c>
      <c r="F381" s="338"/>
      <c r="G381" s="343">
        <f t="shared" si="27"/>
        <v>50</v>
      </c>
      <c r="H381" s="343">
        <f t="shared" si="27"/>
        <v>37.58</v>
      </c>
      <c r="I381" s="343">
        <f t="shared" si="23"/>
        <v>75.16</v>
      </c>
      <c r="J381" s="332"/>
    </row>
    <row r="382" spans="1:10" s="218" customFormat="1" ht="33.75" customHeight="1" x14ac:dyDescent="0.25">
      <c r="A382" s="342" t="s">
        <v>147</v>
      </c>
      <c r="B382" s="336">
        <v>903</v>
      </c>
      <c r="C382" s="338" t="s">
        <v>315</v>
      </c>
      <c r="D382" s="338" t="s">
        <v>134</v>
      </c>
      <c r="E382" s="338" t="s">
        <v>963</v>
      </c>
      <c r="F382" s="338" t="s">
        <v>148</v>
      </c>
      <c r="G382" s="343">
        <f t="shared" si="27"/>
        <v>50</v>
      </c>
      <c r="H382" s="343">
        <f t="shared" si="27"/>
        <v>37.58</v>
      </c>
      <c r="I382" s="343">
        <f t="shared" si="23"/>
        <v>75.16</v>
      </c>
      <c r="J382" s="332"/>
    </row>
    <row r="383" spans="1:10" s="218" customFormat="1" ht="31.7" customHeight="1" x14ac:dyDescent="0.25">
      <c r="A383" s="342" t="s">
        <v>149</v>
      </c>
      <c r="B383" s="336">
        <v>903</v>
      </c>
      <c r="C383" s="338" t="s">
        <v>315</v>
      </c>
      <c r="D383" s="338" t="s">
        <v>134</v>
      </c>
      <c r="E383" s="338" t="s">
        <v>963</v>
      </c>
      <c r="F383" s="338" t="s">
        <v>150</v>
      </c>
      <c r="G383" s="343">
        <v>50</v>
      </c>
      <c r="H383" s="343">
        <v>37.58</v>
      </c>
      <c r="I383" s="343">
        <f t="shared" si="23"/>
        <v>75.16</v>
      </c>
      <c r="J383" s="332"/>
    </row>
    <row r="384" spans="1:10" s="218" customFormat="1" ht="31.7" customHeight="1" x14ac:dyDescent="0.25">
      <c r="A384" s="340" t="s">
        <v>1076</v>
      </c>
      <c r="B384" s="337">
        <v>903</v>
      </c>
      <c r="C384" s="341" t="s">
        <v>315</v>
      </c>
      <c r="D384" s="341" t="s">
        <v>134</v>
      </c>
      <c r="E384" s="341" t="s">
        <v>964</v>
      </c>
      <c r="F384" s="341"/>
      <c r="G384" s="339">
        <f t="shared" ref="G384:H386" si="28">G385</f>
        <v>507</v>
      </c>
      <c r="H384" s="339">
        <f t="shared" si="28"/>
        <v>245.2</v>
      </c>
      <c r="I384" s="339">
        <f t="shared" si="23"/>
        <v>48.362919132149898</v>
      </c>
      <c r="J384" s="332"/>
    </row>
    <row r="385" spans="1:10" s="218" customFormat="1" ht="31.7" customHeight="1" x14ac:dyDescent="0.25">
      <c r="A385" s="342" t="s">
        <v>885</v>
      </c>
      <c r="B385" s="336">
        <v>903</v>
      </c>
      <c r="C385" s="338" t="s">
        <v>315</v>
      </c>
      <c r="D385" s="338" t="s">
        <v>134</v>
      </c>
      <c r="E385" s="338" t="s">
        <v>1252</v>
      </c>
      <c r="F385" s="338"/>
      <c r="G385" s="343">
        <f t="shared" si="28"/>
        <v>507</v>
      </c>
      <c r="H385" s="343">
        <f t="shared" si="28"/>
        <v>245.2</v>
      </c>
      <c r="I385" s="343">
        <f t="shared" si="23"/>
        <v>48.362919132149898</v>
      </c>
      <c r="J385" s="332"/>
    </row>
    <row r="386" spans="1:10" s="218" customFormat="1" ht="31.7" customHeight="1" x14ac:dyDescent="0.25">
      <c r="A386" s="342" t="s">
        <v>143</v>
      </c>
      <c r="B386" s="336">
        <v>903</v>
      </c>
      <c r="C386" s="338" t="s">
        <v>315</v>
      </c>
      <c r="D386" s="338" t="s">
        <v>134</v>
      </c>
      <c r="E386" s="338" t="s">
        <v>1252</v>
      </c>
      <c r="F386" s="338" t="s">
        <v>144</v>
      </c>
      <c r="G386" s="343">
        <f t="shared" si="28"/>
        <v>507</v>
      </c>
      <c r="H386" s="343">
        <f t="shared" si="28"/>
        <v>245.2</v>
      </c>
      <c r="I386" s="343">
        <f t="shared" si="23"/>
        <v>48.362919132149898</v>
      </c>
      <c r="J386" s="332"/>
    </row>
    <row r="387" spans="1:10" s="218" customFormat="1" ht="17.45" customHeight="1" x14ac:dyDescent="0.25">
      <c r="A387" s="342" t="s">
        <v>224</v>
      </c>
      <c r="B387" s="336">
        <v>903</v>
      </c>
      <c r="C387" s="338" t="s">
        <v>315</v>
      </c>
      <c r="D387" s="338" t="s">
        <v>134</v>
      </c>
      <c r="E387" s="338" t="s">
        <v>1252</v>
      </c>
      <c r="F387" s="338" t="s">
        <v>225</v>
      </c>
      <c r="G387" s="343">
        <v>507</v>
      </c>
      <c r="H387" s="343">
        <v>245.2</v>
      </c>
      <c r="I387" s="343">
        <f t="shared" si="23"/>
        <v>48.362919132149898</v>
      </c>
      <c r="J387" s="332"/>
    </row>
    <row r="388" spans="1:10" s="218" customFormat="1" ht="21.2" customHeight="1" x14ac:dyDescent="0.25">
      <c r="A388" s="340" t="s">
        <v>1163</v>
      </c>
      <c r="B388" s="337">
        <v>903</v>
      </c>
      <c r="C388" s="341" t="s">
        <v>315</v>
      </c>
      <c r="D388" s="341" t="s">
        <v>134</v>
      </c>
      <c r="E388" s="341" t="s">
        <v>965</v>
      </c>
      <c r="F388" s="341"/>
      <c r="G388" s="339">
        <f>G389+G392</f>
        <v>68.7</v>
      </c>
      <c r="H388" s="339">
        <f>H389+H392</f>
        <v>0</v>
      </c>
      <c r="I388" s="339">
        <f t="shared" si="23"/>
        <v>0</v>
      </c>
      <c r="J388" s="332"/>
    </row>
    <row r="389" spans="1:10" ht="15.75" x14ac:dyDescent="0.25">
      <c r="A389" s="342" t="s">
        <v>1295</v>
      </c>
      <c r="B389" s="336">
        <v>903</v>
      </c>
      <c r="C389" s="338" t="s">
        <v>315</v>
      </c>
      <c r="D389" s="338" t="s">
        <v>134</v>
      </c>
      <c r="E389" s="338" t="s">
        <v>1253</v>
      </c>
      <c r="F389" s="338"/>
      <c r="G389" s="343">
        <f>G390</f>
        <v>3.5</v>
      </c>
      <c r="H389" s="343">
        <f>H390</f>
        <v>0</v>
      </c>
      <c r="I389" s="343">
        <f t="shared" si="23"/>
        <v>0</v>
      </c>
    </row>
    <row r="390" spans="1:10" ht="31.5" x14ac:dyDescent="0.25">
      <c r="A390" s="342" t="s">
        <v>147</v>
      </c>
      <c r="B390" s="336">
        <v>903</v>
      </c>
      <c r="C390" s="338" t="s">
        <v>315</v>
      </c>
      <c r="D390" s="338" t="s">
        <v>134</v>
      </c>
      <c r="E390" s="338" t="s">
        <v>1253</v>
      </c>
      <c r="F390" s="338" t="s">
        <v>148</v>
      </c>
      <c r="G390" s="343">
        <f>G391</f>
        <v>3.5</v>
      </c>
      <c r="H390" s="343">
        <f>H391</f>
        <v>0</v>
      </c>
      <c r="I390" s="343">
        <f t="shared" si="23"/>
        <v>0</v>
      </c>
    </row>
    <row r="391" spans="1:10" ht="31.5" x14ac:dyDescent="0.25">
      <c r="A391" s="342" t="s">
        <v>149</v>
      </c>
      <c r="B391" s="336">
        <v>903</v>
      </c>
      <c r="C391" s="338" t="s">
        <v>315</v>
      </c>
      <c r="D391" s="338" t="s">
        <v>134</v>
      </c>
      <c r="E391" s="338" t="s">
        <v>1253</v>
      </c>
      <c r="F391" s="338" t="s">
        <v>150</v>
      </c>
      <c r="G391" s="343">
        <v>3.5</v>
      </c>
      <c r="H391" s="343">
        <v>0</v>
      </c>
      <c r="I391" s="343">
        <f t="shared" si="23"/>
        <v>0</v>
      </c>
    </row>
    <row r="392" spans="1:10" ht="15.75" x14ac:dyDescent="0.25">
      <c r="A392" s="342" t="s">
        <v>345</v>
      </c>
      <c r="B392" s="336">
        <v>903</v>
      </c>
      <c r="C392" s="338" t="s">
        <v>315</v>
      </c>
      <c r="D392" s="338" t="s">
        <v>134</v>
      </c>
      <c r="E392" s="338" t="s">
        <v>1254</v>
      </c>
      <c r="F392" s="338"/>
      <c r="G392" s="343">
        <f>G393</f>
        <v>65.2</v>
      </c>
      <c r="H392" s="343">
        <f>H393</f>
        <v>0</v>
      </c>
      <c r="I392" s="343">
        <f t="shared" si="23"/>
        <v>0</v>
      </c>
    </row>
    <row r="393" spans="1:10" ht="31.5" x14ac:dyDescent="0.25">
      <c r="A393" s="342" t="s">
        <v>147</v>
      </c>
      <c r="B393" s="336">
        <v>903</v>
      </c>
      <c r="C393" s="338" t="s">
        <v>315</v>
      </c>
      <c r="D393" s="338" t="s">
        <v>134</v>
      </c>
      <c r="E393" s="338" t="s">
        <v>1254</v>
      </c>
      <c r="F393" s="338" t="s">
        <v>148</v>
      </c>
      <c r="G393" s="343">
        <f>G394</f>
        <v>65.2</v>
      </c>
      <c r="H393" s="343">
        <f>H394</f>
        <v>0</v>
      </c>
      <c r="I393" s="343">
        <f t="shared" si="23"/>
        <v>0</v>
      </c>
    </row>
    <row r="394" spans="1:10" ht="31.5" x14ac:dyDescent="0.25">
      <c r="A394" s="342" t="s">
        <v>149</v>
      </c>
      <c r="B394" s="336">
        <v>903</v>
      </c>
      <c r="C394" s="338" t="s">
        <v>315</v>
      </c>
      <c r="D394" s="338" t="s">
        <v>134</v>
      </c>
      <c r="E394" s="338" t="s">
        <v>1254</v>
      </c>
      <c r="F394" s="38">
        <v>240</v>
      </c>
      <c r="G394" s="343">
        <v>65.2</v>
      </c>
      <c r="H394" s="343">
        <v>0</v>
      </c>
      <c r="I394" s="343">
        <f t="shared" si="23"/>
        <v>0</v>
      </c>
    </row>
    <row r="395" spans="1:10" ht="36" customHeight="1" x14ac:dyDescent="0.25">
      <c r="A395" s="230" t="s">
        <v>971</v>
      </c>
      <c r="B395" s="337">
        <v>903</v>
      </c>
      <c r="C395" s="341" t="s">
        <v>315</v>
      </c>
      <c r="D395" s="341" t="s">
        <v>134</v>
      </c>
      <c r="E395" s="341" t="s">
        <v>1255</v>
      </c>
      <c r="F395" s="341"/>
      <c r="G395" s="339">
        <f>G399+G402+G396</f>
        <v>1596</v>
      </c>
      <c r="H395" s="339">
        <f>H399+H402+H396</f>
        <v>401.7</v>
      </c>
      <c r="I395" s="339">
        <f t="shared" ref="I395:I458" si="29">H395/G395*100</f>
        <v>25.169172932330824</v>
      </c>
    </row>
    <row r="396" spans="1:10" s="332" customFormat="1" ht="79.5" customHeight="1" x14ac:dyDescent="0.25">
      <c r="A396" s="31" t="s">
        <v>309</v>
      </c>
      <c r="B396" s="336">
        <v>903</v>
      </c>
      <c r="C396" s="338" t="s">
        <v>315</v>
      </c>
      <c r="D396" s="338" t="s">
        <v>134</v>
      </c>
      <c r="E396" s="338" t="s">
        <v>1524</v>
      </c>
      <c r="F396" s="338"/>
      <c r="G396" s="343">
        <f>G397</f>
        <v>1159.3</v>
      </c>
      <c r="H396" s="343">
        <f>H397</f>
        <v>176</v>
      </c>
      <c r="I396" s="343">
        <f t="shared" si="29"/>
        <v>15.181575088415425</v>
      </c>
    </row>
    <row r="397" spans="1:10" s="332" customFormat="1" ht="64.5" customHeight="1" x14ac:dyDescent="0.25">
      <c r="A397" s="342" t="s">
        <v>143</v>
      </c>
      <c r="B397" s="336">
        <v>903</v>
      </c>
      <c r="C397" s="338" t="s">
        <v>315</v>
      </c>
      <c r="D397" s="338" t="s">
        <v>134</v>
      </c>
      <c r="E397" s="338" t="s">
        <v>1524</v>
      </c>
      <c r="F397" s="338" t="s">
        <v>144</v>
      </c>
      <c r="G397" s="343">
        <f>G398</f>
        <v>1159.3</v>
      </c>
      <c r="H397" s="343">
        <f>H398</f>
        <v>176</v>
      </c>
      <c r="I397" s="343">
        <f t="shared" si="29"/>
        <v>15.181575088415425</v>
      </c>
    </row>
    <row r="398" spans="1:10" s="332" customFormat="1" ht="36" customHeight="1" x14ac:dyDescent="0.25">
      <c r="A398" s="342" t="s">
        <v>224</v>
      </c>
      <c r="B398" s="336">
        <v>903</v>
      </c>
      <c r="C398" s="338" t="s">
        <v>315</v>
      </c>
      <c r="D398" s="338" t="s">
        <v>134</v>
      </c>
      <c r="E398" s="338" t="s">
        <v>1524</v>
      </c>
      <c r="F398" s="338" t="s">
        <v>225</v>
      </c>
      <c r="G398" s="343">
        <v>1159.3</v>
      </c>
      <c r="H398" s="343">
        <v>176</v>
      </c>
      <c r="I398" s="343">
        <f t="shared" si="29"/>
        <v>15.181575088415425</v>
      </c>
      <c r="J398" s="351"/>
    </row>
    <row r="399" spans="1:10" s="218" customFormat="1" ht="63" x14ac:dyDescent="0.25">
      <c r="A399" s="342" t="s">
        <v>347</v>
      </c>
      <c r="B399" s="336">
        <v>903</v>
      </c>
      <c r="C399" s="338" t="s">
        <v>315</v>
      </c>
      <c r="D399" s="338" t="s">
        <v>134</v>
      </c>
      <c r="E399" s="338" t="s">
        <v>1256</v>
      </c>
      <c r="F399" s="338"/>
      <c r="G399" s="343">
        <f>G400</f>
        <v>319.7</v>
      </c>
      <c r="H399" s="343">
        <f>H400</f>
        <v>108.7</v>
      </c>
      <c r="I399" s="343">
        <f t="shared" si="29"/>
        <v>34.000625586487331</v>
      </c>
      <c r="J399" s="332"/>
    </row>
    <row r="400" spans="1:10" s="218" customFormat="1" ht="63" x14ac:dyDescent="0.25">
      <c r="A400" s="342" t="s">
        <v>143</v>
      </c>
      <c r="B400" s="336">
        <v>903</v>
      </c>
      <c r="C400" s="338" t="s">
        <v>315</v>
      </c>
      <c r="D400" s="338" t="s">
        <v>134</v>
      </c>
      <c r="E400" s="338" t="s">
        <v>1256</v>
      </c>
      <c r="F400" s="338" t="s">
        <v>144</v>
      </c>
      <c r="G400" s="343">
        <f>G401</f>
        <v>319.7</v>
      </c>
      <c r="H400" s="343">
        <f>H401</f>
        <v>108.7</v>
      </c>
      <c r="I400" s="343">
        <f t="shared" si="29"/>
        <v>34.000625586487331</v>
      </c>
      <c r="J400" s="332"/>
    </row>
    <row r="401" spans="1:10" s="218" customFormat="1" ht="15.75" x14ac:dyDescent="0.25">
      <c r="A401" s="342" t="s">
        <v>224</v>
      </c>
      <c r="B401" s="336">
        <v>903</v>
      </c>
      <c r="C401" s="338" t="s">
        <v>315</v>
      </c>
      <c r="D401" s="338" t="s">
        <v>134</v>
      </c>
      <c r="E401" s="338" t="s">
        <v>1256</v>
      </c>
      <c r="F401" s="338" t="s">
        <v>225</v>
      </c>
      <c r="G401" s="343">
        <v>319.7</v>
      </c>
      <c r="H401" s="343">
        <v>108.7</v>
      </c>
      <c r="I401" s="343">
        <f t="shared" si="29"/>
        <v>34.000625586487331</v>
      </c>
      <c r="J401" s="332"/>
    </row>
    <row r="402" spans="1:10" s="218" customFormat="1" ht="78.75" x14ac:dyDescent="0.25">
      <c r="A402" s="31" t="s">
        <v>309</v>
      </c>
      <c r="B402" s="336">
        <v>903</v>
      </c>
      <c r="C402" s="338" t="s">
        <v>315</v>
      </c>
      <c r="D402" s="338" t="s">
        <v>134</v>
      </c>
      <c r="E402" s="338" t="s">
        <v>1257</v>
      </c>
      <c r="F402" s="338"/>
      <c r="G402" s="343">
        <f>G403</f>
        <v>117</v>
      </c>
      <c r="H402" s="343">
        <f>H403</f>
        <v>117</v>
      </c>
      <c r="I402" s="343">
        <f t="shared" si="29"/>
        <v>100</v>
      </c>
      <c r="J402" s="332"/>
    </row>
    <row r="403" spans="1:10" s="218" customFormat="1" ht="63" x14ac:dyDescent="0.25">
      <c r="A403" s="342" t="s">
        <v>143</v>
      </c>
      <c r="B403" s="336">
        <v>903</v>
      </c>
      <c r="C403" s="338" t="s">
        <v>315</v>
      </c>
      <c r="D403" s="338" t="s">
        <v>134</v>
      </c>
      <c r="E403" s="338" t="s">
        <v>1257</v>
      </c>
      <c r="F403" s="338" t="s">
        <v>144</v>
      </c>
      <c r="G403" s="343">
        <f>G404</f>
        <v>117</v>
      </c>
      <c r="H403" s="343">
        <f>H404</f>
        <v>117</v>
      </c>
      <c r="I403" s="343">
        <f t="shared" si="29"/>
        <v>100</v>
      </c>
      <c r="J403" s="332"/>
    </row>
    <row r="404" spans="1:10" ht="15.75" x14ac:dyDescent="0.25">
      <c r="A404" s="342" t="s">
        <v>224</v>
      </c>
      <c r="B404" s="336">
        <v>903</v>
      </c>
      <c r="C404" s="338" t="s">
        <v>315</v>
      </c>
      <c r="D404" s="338" t="s">
        <v>134</v>
      </c>
      <c r="E404" s="338" t="s">
        <v>1257</v>
      </c>
      <c r="F404" s="338" t="s">
        <v>225</v>
      </c>
      <c r="G404" s="343">
        <f>1075.09+201.22-0.01-1159.3</f>
        <v>117</v>
      </c>
      <c r="H404" s="343">
        <v>117</v>
      </c>
      <c r="I404" s="343">
        <f t="shared" si="29"/>
        <v>100</v>
      </c>
    </row>
    <row r="405" spans="1:10" ht="47.25" x14ac:dyDescent="0.25">
      <c r="A405" s="34" t="s">
        <v>805</v>
      </c>
      <c r="B405" s="337">
        <v>903</v>
      </c>
      <c r="C405" s="341" t="s">
        <v>315</v>
      </c>
      <c r="D405" s="341" t="s">
        <v>134</v>
      </c>
      <c r="E405" s="341" t="s">
        <v>340</v>
      </c>
      <c r="F405" s="341"/>
      <c r="G405" s="339">
        <f>G407</f>
        <v>100</v>
      </c>
      <c r="H405" s="339">
        <f>H407</f>
        <v>0</v>
      </c>
      <c r="I405" s="339">
        <f t="shared" si="29"/>
        <v>0</v>
      </c>
    </row>
    <row r="406" spans="1:10" s="218" customFormat="1" ht="47.25" x14ac:dyDescent="0.25">
      <c r="A406" s="34" t="s">
        <v>1191</v>
      </c>
      <c r="B406" s="337">
        <v>903</v>
      </c>
      <c r="C406" s="341" t="s">
        <v>315</v>
      </c>
      <c r="D406" s="341" t="s">
        <v>134</v>
      </c>
      <c r="E406" s="341" t="s">
        <v>1025</v>
      </c>
      <c r="F406" s="341"/>
      <c r="G406" s="339">
        <f>G409</f>
        <v>100</v>
      </c>
      <c r="H406" s="339">
        <f>H409</f>
        <v>0</v>
      </c>
      <c r="I406" s="339">
        <f t="shared" si="29"/>
        <v>0</v>
      </c>
      <c r="J406" s="332"/>
    </row>
    <row r="407" spans="1:10" ht="47.25" x14ac:dyDescent="0.25">
      <c r="A407" s="31" t="s">
        <v>1273</v>
      </c>
      <c r="B407" s="336">
        <v>903</v>
      </c>
      <c r="C407" s="338" t="s">
        <v>315</v>
      </c>
      <c r="D407" s="338" t="s">
        <v>134</v>
      </c>
      <c r="E407" s="338" t="s">
        <v>1192</v>
      </c>
      <c r="F407" s="338"/>
      <c r="G407" s="343">
        <f>G408</f>
        <v>100</v>
      </c>
      <c r="H407" s="343">
        <f>H408</f>
        <v>0</v>
      </c>
      <c r="I407" s="343">
        <f t="shared" si="29"/>
        <v>0</v>
      </c>
    </row>
    <row r="408" spans="1:10" ht="31.5" x14ac:dyDescent="0.25">
      <c r="A408" s="342" t="s">
        <v>147</v>
      </c>
      <c r="B408" s="336">
        <v>903</v>
      </c>
      <c r="C408" s="338" t="s">
        <v>315</v>
      </c>
      <c r="D408" s="338" t="s">
        <v>134</v>
      </c>
      <c r="E408" s="338" t="s">
        <v>1192</v>
      </c>
      <c r="F408" s="338" t="s">
        <v>148</v>
      </c>
      <c r="G408" s="343">
        <f>G409</f>
        <v>100</v>
      </c>
      <c r="H408" s="343">
        <f>H409</f>
        <v>0</v>
      </c>
      <c r="I408" s="343">
        <f t="shared" si="29"/>
        <v>0</v>
      </c>
    </row>
    <row r="409" spans="1:10" ht="31.5" x14ac:dyDescent="0.25">
      <c r="A409" s="342" t="s">
        <v>149</v>
      </c>
      <c r="B409" s="336">
        <v>903</v>
      </c>
      <c r="C409" s="338" t="s">
        <v>315</v>
      </c>
      <c r="D409" s="338" t="s">
        <v>134</v>
      </c>
      <c r="E409" s="338" t="s">
        <v>1192</v>
      </c>
      <c r="F409" s="338" t="s">
        <v>150</v>
      </c>
      <c r="G409" s="343">
        <v>100</v>
      </c>
      <c r="H409" s="343">
        <v>0</v>
      </c>
      <c r="I409" s="343">
        <f t="shared" si="29"/>
        <v>0</v>
      </c>
    </row>
    <row r="410" spans="1:10" ht="47.25" x14ac:dyDescent="0.25">
      <c r="A410" s="41" t="s">
        <v>1185</v>
      </c>
      <c r="B410" s="337">
        <v>903</v>
      </c>
      <c r="C410" s="341" t="s">
        <v>315</v>
      </c>
      <c r="D410" s="341" t="s">
        <v>134</v>
      </c>
      <c r="E410" s="341" t="s">
        <v>728</v>
      </c>
      <c r="F410" s="235"/>
      <c r="G410" s="339">
        <f t="shared" ref="G410:H413" si="30">G411</f>
        <v>834.6</v>
      </c>
      <c r="H410" s="339">
        <f t="shared" si="30"/>
        <v>337.76</v>
      </c>
      <c r="I410" s="339">
        <f t="shared" si="29"/>
        <v>40.469686077162706</v>
      </c>
    </row>
    <row r="411" spans="1:10" s="218" customFormat="1" ht="47.25" x14ac:dyDescent="0.25">
      <c r="A411" s="41" t="s">
        <v>949</v>
      </c>
      <c r="B411" s="337">
        <v>903</v>
      </c>
      <c r="C411" s="341" t="s">
        <v>315</v>
      </c>
      <c r="D411" s="341" t="s">
        <v>134</v>
      </c>
      <c r="E411" s="341" t="s">
        <v>947</v>
      </c>
      <c r="F411" s="235"/>
      <c r="G411" s="339">
        <f t="shared" si="30"/>
        <v>834.6</v>
      </c>
      <c r="H411" s="339">
        <f t="shared" si="30"/>
        <v>337.76</v>
      </c>
      <c r="I411" s="339">
        <f t="shared" si="29"/>
        <v>40.469686077162706</v>
      </c>
      <c r="J411" s="332"/>
    </row>
    <row r="412" spans="1:10" ht="31.5" x14ac:dyDescent="0.25">
      <c r="A412" s="99" t="s">
        <v>1187</v>
      </c>
      <c r="B412" s="336">
        <v>903</v>
      </c>
      <c r="C412" s="338" t="s">
        <v>315</v>
      </c>
      <c r="D412" s="338" t="s">
        <v>134</v>
      </c>
      <c r="E412" s="338" t="s">
        <v>948</v>
      </c>
      <c r="F412" s="32"/>
      <c r="G412" s="343">
        <f t="shared" si="30"/>
        <v>834.6</v>
      </c>
      <c r="H412" s="343">
        <f t="shared" si="30"/>
        <v>337.76</v>
      </c>
      <c r="I412" s="343">
        <f t="shared" si="29"/>
        <v>40.469686077162706</v>
      </c>
    </row>
    <row r="413" spans="1:10" ht="31.5" x14ac:dyDescent="0.25">
      <c r="A413" s="342" t="s">
        <v>147</v>
      </c>
      <c r="B413" s="336">
        <v>903</v>
      </c>
      <c r="C413" s="338" t="s">
        <v>315</v>
      </c>
      <c r="D413" s="338" t="s">
        <v>134</v>
      </c>
      <c r="E413" s="338" t="s">
        <v>948</v>
      </c>
      <c r="F413" s="32" t="s">
        <v>148</v>
      </c>
      <c r="G413" s="343">
        <f t="shared" si="30"/>
        <v>834.6</v>
      </c>
      <c r="H413" s="343">
        <f t="shared" si="30"/>
        <v>337.76</v>
      </c>
      <c r="I413" s="343">
        <f t="shared" si="29"/>
        <v>40.469686077162706</v>
      </c>
    </row>
    <row r="414" spans="1:10" ht="31.5" x14ac:dyDescent="0.25">
      <c r="A414" s="342" t="s">
        <v>149</v>
      </c>
      <c r="B414" s="336">
        <v>903</v>
      </c>
      <c r="C414" s="338" t="s">
        <v>315</v>
      </c>
      <c r="D414" s="338" t="s">
        <v>134</v>
      </c>
      <c r="E414" s="338" t="s">
        <v>948</v>
      </c>
      <c r="F414" s="32" t="s">
        <v>150</v>
      </c>
      <c r="G414" s="343">
        <f>793.2+41.4</f>
        <v>834.6</v>
      </c>
      <c r="H414" s="343">
        <v>337.76</v>
      </c>
      <c r="I414" s="343">
        <f t="shared" si="29"/>
        <v>40.469686077162706</v>
      </c>
    </row>
    <row r="415" spans="1:10" ht="15.75" x14ac:dyDescent="0.25">
      <c r="A415" s="340" t="s">
        <v>349</v>
      </c>
      <c r="B415" s="337">
        <v>903</v>
      </c>
      <c r="C415" s="341" t="s">
        <v>315</v>
      </c>
      <c r="D415" s="341" t="s">
        <v>166</v>
      </c>
      <c r="E415" s="341"/>
      <c r="F415" s="341"/>
      <c r="G415" s="339">
        <f>G416+G426+G438</f>
        <v>17894.599999999999</v>
      </c>
      <c r="H415" s="339">
        <f>H416+H426+H438</f>
        <v>8331.4500000000007</v>
      </c>
      <c r="I415" s="339">
        <f t="shared" si="29"/>
        <v>46.558458976451007</v>
      </c>
    </row>
    <row r="416" spans="1:10" s="218" customFormat="1" ht="31.5" x14ac:dyDescent="0.25">
      <c r="A416" s="340" t="s">
        <v>990</v>
      </c>
      <c r="B416" s="337">
        <v>903</v>
      </c>
      <c r="C416" s="341" t="s">
        <v>315</v>
      </c>
      <c r="D416" s="341" t="s">
        <v>166</v>
      </c>
      <c r="E416" s="341" t="s">
        <v>904</v>
      </c>
      <c r="F416" s="341"/>
      <c r="G416" s="339">
        <f>G417</f>
        <v>7272.5</v>
      </c>
      <c r="H416" s="339">
        <f>H417</f>
        <v>3139.3</v>
      </c>
      <c r="I416" s="339">
        <f t="shared" si="29"/>
        <v>43.166723960123754</v>
      </c>
      <c r="J416" s="332"/>
    </row>
    <row r="417" spans="1:10" s="218" customFormat="1" ht="15.75" x14ac:dyDescent="0.25">
      <c r="A417" s="340" t="s">
        <v>991</v>
      </c>
      <c r="B417" s="337">
        <v>903</v>
      </c>
      <c r="C417" s="341" t="s">
        <v>315</v>
      </c>
      <c r="D417" s="341" t="s">
        <v>166</v>
      </c>
      <c r="E417" s="341" t="s">
        <v>905</v>
      </c>
      <c r="F417" s="341"/>
      <c r="G417" s="339">
        <f>G418+G423</f>
        <v>7272.5</v>
      </c>
      <c r="H417" s="339">
        <f>H418+H423</f>
        <v>3139.3</v>
      </c>
      <c r="I417" s="339">
        <f t="shared" si="29"/>
        <v>43.166723960123754</v>
      </c>
      <c r="J417" s="332"/>
    </row>
    <row r="418" spans="1:10" s="218" customFormat="1" ht="31.5" x14ac:dyDescent="0.25">
      <c r="A418" s="342" t="s">
        <v>967</v>
      </c>
      <c r="B418" s="336">
        <v>903</v>
      </c>
      <c r="C418" s="338" t="s">
        <v>315</v>
      </c>
      <c r="D418" s="338" t="s">
        <v>166</v>
      </c>
      <c r="E418" s="338" t="s">
        <v>906</v>
      </c>
      <c r="F418" s="338"/>
      <c r="G418" s="343">
        <f>G419+G421</f>
        <v>7146.5</v>
      </c>
      <c r="H418" s="343">
        <f>H419+H421</f>
        <v>3139.3</v>
      </c>
      <c r="I418" s="343">
        <f t="shared" si="29"/>
        <v>43.927796823619957</v>
      </c>
      <c r="J418" s="332"/>
    </row>
    <row r="419" spans="1:10" s="218" customFormat="1" ht="63" x14ac:dyDescent="0.25">
      <c r="A419" s="342" t="s">
        <v>143</v>
      </c>
      <c r="B419" s="336">
        <v>903</v>
      </c>
      <c r="C419" s="338" t="s">
        <v>315</v>
      </c>
      <c r="D419" s="338" t="s">
        <v>166</v>
      </c>
      <c r="E419" s="338" t="s">
        <v>906</v>
      </c>
      <c r="F419" s="338" t="s">
        <v>144</v>
      </c>
      <c r="G419" s="343">
        <f>G420</f>
        <v>7146.5</v>
      </c>
      <c r="H419" s="343">
        <f>H420</f>
        <v>3139.3</v>
      </c>
      <c r="I419" s="343">
        <f t="shared" si="29"/>
        <v>43.927796823619957</v>
      </c>
      <c r="J419" s="332"/>
    </row>
    <row r="420" spans="1:10" s="218" customFormat="1" ht="31.5" x14ac:dyDescent="0.25">
      <c r="A420" s="342" t="s">
        <v>145</v>
      </c>
      <c r="B420" s="336">
        <v>903</v>
      </c>
      <c r="C420" s="338" t="s">
        <v>315</v>
      </c>
      <c r="D420" s="338" t="s">
        <v>166</v>
      </c>
      <c r="E420" s="338" t="s">
        <v>906</v>
      </c>
      <c r="F420" s="338" t="s">
        <v>146</v>
      </c>
      <c r="G420" s="344">
        <f>6744+343+59.5</f>
        <v>7146.5</v>
      </c>
      <c r="H420" s="344">
        <v>3139.3</v>
      </c>
      <c r="I420" s="343">
        <f t="shared" si="29"/>
        <v>43.927796823619957</v>
      </c>
      <c r="J420" s="332"/>
    </row>
    <row r="421" spans="1:10" s="218" customFormat="1" ht="31.5" hidden="1" x14ac:dyDescent="0.25">
      <c r="A421" s="342" t="s">
        <v>147</v>
      </c>
      <c r="B421" s="336">
        <v>903</v>
      </c>
      <c r="C421" s="338" t="s">
        <v>315</v>
      </c>
      <c r="D421" s="338" t="s">
        <v>166</v>
      </c>
      <c r="E421" s="338" t="s">
        <v>906</v>
      </c>
      <c r="F421" s="338" t="s">
        <v>148</v>
      </c>
      <c r="G421" s="343">
        <f>G422</f>
        <v>0</v>
      </c>
      <c r="H421" s="343">
        <f>H422</f>
        <v>0</v>
      </c>
      <c r="I421" s="343" t="e">
        <f t="shared" si="29"/>
        <v>#DIV/0!</v>
      </c>
      <c r="J421" s="332"/>
    </row>
    <row r="422" spans="1:10" s="218" customFormat="1" ht="31.5" hidden="1" x14ac:dyDescent="0.25">
      <c r="A422" s="342" t="s">
        <v>149</v>
      </c>
      <c r="B422" s="336">
        <v>903</v>
      </c>
      <c r="C422" s="338" t="s">
        <v>315</v>
      </c>
      <c r="D422" s="338" t="s">
        <v>166</v>
      </c>
      <c r="E422" s="338" t="s">
        <v>906</v>
      </c>
      <c r="F422" s="338" t="s">
        <v>150</v>
      </c>
      <c r="G422" s="343">
        <v>0</v>
      </c>
      <c r="H422" s="343">
        <v>0</v>
      </c>
      <c r="I422" s="343" t="e">
        <f t="shared" si="29"/>
        <v>#DIV/0!</v>
      </c>
      <c r="J422" s="332"/>
    </row>
    <row r="423" spans="1:10" s="218" customFormat="1" ht="31.5" x14ac:dyDescent="0.25">
      <c r="A423" s="342" t="s">
        <v>885</v>
      </c>
      <c r="B423" s="336">
        <v>903</v>
      </c>
      <c r="C423" s="338" t="s">
        <v>315</v>
      </c>
      <c r="D423" s="338" t="s">
        <v>166</v>
      </c>
      <c r="E423" s="338" t="s">
        <v>908</v>
      </c>
      <c r="F423" s="338"/>
      <c r="G423" s="343">
        <f>G424</f>
        <v>126</v>
      </c>
      <c r="H423" s="343">
        <f>H424</f>
        <v>0</v>
      </c>
      <c r="I423" s="343">
        <f t="shared" si="29"/>
        <v>0</v>
      </c>
      <c r="J423" s="332"/>
    </row>
    <row r="424" spans="1:10" s="218" customFormat="1" ht="63" x14ac:dyDescent="0.25">
      <c r="A424" s="342" t="s">
        <v>143</v>
      </c>
      <c r="B424" s="336">
        <v>903</v>
      </c>
      <c r="C424" s="338" t="s">
        <v>315</v>
      </c>
      <c r="D424" s="338" t="s">
        <v>166</v>
      </c>
      <c r="E424" s="338" t="s">
        <v>908</v>
      </c>
      <c r="F424" s="338" t="s">
        <v>144</v>
      </c>
      <c r="G424" s="343">
        <f>G425</f>
        <v>126</v>
      </c>
      <c r="H424" s="343">
        <f>H425</f>
        <v>0</v>
      </c>
      <c r="I424" s="343">
        <f t="shared" si="29"/>
        <v>0</v>
      </c>
      <c r="J424" s="332"/>
    </row>
    <row r="425" spans="1:10" s="218" customFormat="1" ht="31.5" x14ac:dyDescent="0.25">
      <c r="A425" s="342" t="s">
        <v>145</v>
      </c>
      <c r="B425" s="336">
        <v>903</v>
      </c>
      <c r="C425" s="338" t="s">
        <v>315</v>
      </c>
      <c r="D425" s="338" t="s">
        <v>166</v>
      </c>
      <c r="E425" s="338" t="s">
        <v>908</v>
      </c>
      <c r="F425" s="338" t="s">
        <v>146</v>
      </c>
      <c r="G425" s="343">
        <v>126</v>
      </c>
      <c r="H425" s="343">
        <v>0</v>
      </c>
      <c r="I425" s="343">
        <f t="shared" si="29"/>
        <v>0</v>
      </c>
      <c r="J425" s="332"/>
    </row>
    <row r="426" spans="1:10" s="218" customFormat="1" ht="15.75" x14ac:dyDescent="0.25">
      <c r="A426" s="340" t="s">
        <v>999</v>
      </c>
      <c r="B426" s="337">
        <v>903</v>
      </c>
      <c r="C426" s="341" t="s">
        <v>315</v>
      </c>
      <c r="D426" s="341" t="s">
        <v>166</v>
      </c>
      <c r="E426" s="341" t="s">
        <v>912</v>
      </c>
      <c r="F426" s="341"/>
      <c r="G426" s="339">
        <f>G427</f>
        <v>10362.1</v>
      </c>
      <c r="H426" s="339">
        <f>H427</f>
        <v>5192.1500000000005</v>
      </c>
      <c r="I426" s="339">
        <f t="shared" si="29"/>
        <v>50.107121143397585</v>
      </c>
      <c r="J426" s="332"/>
    </row>
    <row r="427" spans="1:10" s="218" customFormat="1" ht="31.7" customHeight="1" x14ac:dyDescent="0.25">
      <c r="A427" s="340" t="s">
        <v>1002</v>
      </c>
      <c r="B427" s="337">
        <v>903</v>
      </c>
      <c r="C427" s="341" t="s">
        <v>315</v>
      </c>
      <c r="D427" s="341" t="s">
        <v>166</v>
      </c>
      <c r="E427" s="341" t="s">
        <v>987</v>
      </c>
      <c r="F427" s="341"/>
      <c r="G427" s="339">
        <f>G428+G435</f>
        <v>10362.1</v>
      </c>
      <c r="H427" s="339">
        <f>H428+H435</f>
        <v>5192.1500000000005</v>
      </c>
      <c r="I427" s="339">
        <f t="shared" si="29"/>
        <v>50.107121143397585</v>
      </c>
      <c r="J427" s="332"/>
    </row>
    <row r="428" spans="1:10" s="218" customFormat="1" ht="30.75" customHeight="1" x14ac:dyDescent="0.25">
      <c r="A428" s="342" t="s">
        <v>974</v>
      </c>
      <c r="B428" s="336">
        <v>903</v>
      </c>
      <c r="C428" s="338" t="s">
        <v>315</v>
      </c>
      <c r="D428" s="338" t="s">
        <v>166</v>
      </c>
      <c r="E428" s="338" t="s">
        <v>988</v>
      </c>
      <c r="F428" s="338"/>
      <c r="G428" s="343">
        <f>G429+G431+G433</f>
        <v>10152.1</v>
      </c>
      <c r="H428" s="343">
        <f>H429+H431+H433</f>
        <v>5013.55</v>
      </c>
      <c r="I428" s="343">
        <f t="shared" si="29"/>
        <v>49.384363826203447</v>
      </c>
      <c r="J428" s="332"/>
    </row>
    <row r="429" spans="1:10" s="218" customFormat="1" ht="63" x14ac:dyDescent="0.25">
      <c r="A429" s="342" t="s">
        <v>143</v>
      </c>
      <c r="B429" s="336">
        <v>903</v>
      </c>
      <c r="C429" s="338" t="s">
        <v>315</v>
      </c>
      <c r="D429" s="338" t="s">
        <v>166</v>
      </c>
      <c r="E429" s="338" t="s">
        <v>988</v>
      </c>
      <c r="F429" s="338" t="s">
        <v>144</v>
      </c>
      <c r="G429" s="343">
        <f>G430</f>
        <v>8201.1</v>
      </c>
      <c r="H429" s="343">
        <f>H430</f>
        <v>4135.25</v>
      </c>
      <c r="I429" s="343">
        <f t="shared" si="29"/>
        <v>50.423113972515878</v>
      </c>
      <c r="J429" s="332"/>
    </row>
    <row r="430" spans="1:10" s="218" customFormat="1" ht="33" customHeight="1" x14ac:dyDescent="0.25">
      <c r="A430" s="342" t="s">
        <v>358</v>
      </c>
      <c r="B430" s="336">
        <v>903</v>
      </c>
      <c r="C430" s="338" t="s">
        <v>315</v>
      </c>
      <c r="D430" s="338" t="s">
        <v>166</v>
      </c>
      <c r="E430" s="338" t="s">
        <v>988</v>
      </c>
      <c r="F430" s="338" t="s">
        <v>225</v>
      </c>
      <c r="G430" s="344">
        <f>8048+116.1+37</f>
        <v>8201.1</v>
      </c>
      <c r="H430" s="344">
        <v>4135.25</v>
      </c>
      <c r="I430" s="343">
        <f t="shared" si="29"/>
        <v>50.423113972515878</v>
      </c>
      <c r="J430" s="332"/>
    </row>
    <row r="431" spans="1:10" s="218" customFormat="1" ht="31.5" x14ac:dyDescent="0.25">
      <c r="A431" s="342" t="s">
        <v>147</v>
      </c>
      <c r="B431" s="336">
        <v>903</v>
      </c>
      <c r="C431" s="338" t="s">
        <v>315</v>
      </c>
      <c r="D431" s="338" t="s">
        <v>166</v>
      </c>
      <c r="E431" s="338" t="s">
        <v>988</v>
      </c>
      <c r="F431" s="338" t="s">
        <v>148</v>
      </c>
      <c r="G431" s="343">
        <f>G432</f>
        <v>1933.9</v>
      </c>
      <c r="H431" s="343">
        <f>H432</f>
        <v>862.5</v>
      </c>
      <c r="I431" s="343">
        <f t="shared" si="29"/>
        <v>44.598996845752104</v>
      </c>
      <c r="J431" s="332"/>
    </row>
    <row r="432" spans="1:10" s="218" customFormat="1" ht="31.5" x14ac:dyDescent="0.25">
      <c r="A432" s="342" t="s">
        <v>149</v>
      </c>
      <c r="B432" s="336">
        <v>903</v>
      </c>
      <c r="C432" s="338" t="s">
        <v>315</v>
      </c>
      <c r="D432" s="338" t="s">
        <v>166</v>
      </c>
      <c r="E432" s="338" t="s">
        <v>988</v>
      </c>
      <c r="F432" s="338" t="s">
        <v>150</v>
      </c>
      <c r="G432" s="344">
        <f>1936.4+0.6-3.1</f>
        <v>1933.9</v>
      </c>
      <c r="H432" s="344">
        <v>862.5</v>
      </c>
      <c r="I432" s="343">
        <f t="shared" si="29"/>
        <v>44.598996845752104</v>
      </c>
      <c r="J432" s="332"/>
    </row>
    <row r="433" spans="1:10" s="218" customFormat="1" ht="15.75" x14ac:dyDescent="0.25">
      <c r="A433" s="342" t="s">
        <v>151</v>
      </c>
      <c r="B433" s="336">
        <v>903</v>
      </c>
      <c r="C433" s="338" t="s">
        <v>315</v>
      </c>
      <c r="D433" s="338" t="s">
        <v>166</v>
      </c>
      <c r="E433" s="338" t="s">
        <v>988</v>
      </c>
      <c r="F433" s="338" t="s">
        <v>161</v>
      </c>
      <c r="G433" s="343">
        <f>G434</f>
        <v>17.100000000000001</v>
      </c>
      <c r="H433" s="343">
        <f>H434</f>
        <v>15.8</v>
      </c>
      <c r="I433" s="343">
        <f t="shared" si="29"/>
        <v>92.397660818713447</v>
      </c>
      <c r="J433" s="332"/>
    </row>
    <row r="434" spans="1:10" s="218" customFormat="1" ht="15.75" x14ac:dyDescent="0.25">
      <c r="A434" s="342" t="s">
        <v>584</v>
      </c>
      <c r="B434" s="336">
        <v>903</v>
      </c>
      <c r="C434" s="338" t="s">
        <v>315</v>
      </c>
      <c r="D434" s="338" t="s">
        <v>166</v>
      </c>
      <c r="E434" s="338" t="s">
        <v>988</v>
      </c>
      <c r="F434" s="338" t="s">
        <v>154</v>
      </c>
      <c r="G434" s="343">
        <f>14+3.1</f>
        <v>17.100000000000001</v>
      </c>
      <c r="H434" s="343">
        <v>15.8</v>
      </c>
      <c r="I434" s="343">
        <f t="shared" si="29"/>
        <v>92.397660818713447</v>
      </c>
      <c r="J434" s="332"/>
    </row>
    <row r="435" spans="1:10" s="218" customFormat="1" ht="31.5" x14ac:dyDescent="0.25">
      <c r="A435" s="342" t="s">
        <v>885</v>
      </c>
      <c r="B435" s="336">
        <v>903</v>
      </c>
      <c r="C435" s="338" t="s">
        <v>315</v>
      </c>
      <c r="D435" s="338" t="s">
        <v>166</v>
      </c>
      <c r="E435" s="338" t="s">
        <v>989</v>
      </c>
      <c r="F435" s="338"/>
      <c r="G435" s="343">
        <f>G436</f>
        <v>210</v>
      </c>
      <c r="H435" s="343">
        <f>H436</f>
        <v>178.6</v>
      </c>
      <c r="I435" s="343">
        <f t="shared" si="29"/>
        <v>85.047619047619051</v>
      </c>
      <c r="J435" s="332"/>
    </row>
    <row r="436" spans="1:10" s="218" customFormat="1" ht="63" x14ac:dyDescent="0.25">
      <c r="A436" s="342" t="s">
        <v>143</v>
      </c>
      <c r="B436" s="336">
        <v>903</v>
      </c>
      <c r="C436" s="338" t="s">
        <v>315</v>
      </c>
      <c r="D436" s="338" t="s">
        <v>166</v>
      </c>
      <c r="E436" s="338" t="s">
        <v>989</v>
      </c>
      <c r="F436" s="338" t="s">
        <v>144</v>
      </c>
      <c r="G436" s="343">
        <f>G437</f>
        <v>210</v>
      </c>
      <c r="H436" s="343">
        <f>H437</f>
        <v>178.6</v>
      </c>
      <c r="I436" s="343">
        <f t="shared" si="29"/>
        <v>85.047619047619051</v>
      </c>
      <c r="J436" s="332"/>
    </row>
    <row r="437" spans="1:10" s="218" customFormat="1" ht="15.75" x14ac:dyDescent="0.25">
      <c r="A437" s="342" t="s">
        <v>358</v>
      </c>
      <c r="B437" s="336">
        <v>903</v>
      </c>
      <c r="C437" s="338" t="s">
        <v>315</v>
      </c>
      <c r="D437" s="338" t="s">
        <v>166</v>
      </c>
      <c r="E437" s="338" t="s">
        <v>989</v>
      </c>
      <c r="F437" s="338" t="s">
        <v>225</v>
      </c>
      <c r="G437" s="343">
        <v>210</v>
      </c>
      <c r="H437" s="343">
        <v>178.6</v>
      </c>
      <c r="I437" s="343">
        <f t="shared" si="29"/>
        <v>85.047619047619051</v>
      </c>
      <c r="J437" s="332"/>
    </row>
    <row r="438" spans="1:10" ht="47.25" x14ac:dyDescent="0.25">
      <c r="A438" s="340" t="s">
        <v>359</v>
      </c>
      <c r="B438" s="337">
        <v>903</v>
      </c>
      <c r="C438" s="341" t="s">
        <v>315</v>
      </c>
      <c r="D438" s="341" t="s">
        <v>166</v>
      </c>
      <c r="E438" s="341" t="s">
        <v>360</v>
      </c>
      <c r="F438" s="341"/>
      <c r="G438" s="339">
        <f t="shared" ref="G438:H442" si="31">G439</f>
        <v>260</v>
      </c>
      <c r="H438" s="339">
        <f t="shared" si="31"/>
        <v>0</v>
      </c>
      <c r="I438" s="339">
        <f t="shared" si="29"/>
        <v>0</v>
      </c>
    </row>
    <row r="439" spans="1:10" ht="47.25" x14ac:dyDescent="0.25">
      <c r="A439" s="340" t="s">
        <v>380</v>
      </c>
      <c r="B439" s="337">
        <v>903</v>
      </c>
      <c r="C439" s="341" t="s">
        <v>315</v>
      </c>
      <c r="D439" s="341" t="s">
        <v>166</v>
      </c>
      <c r="E439" s="341" t="s">
        <v>381</v>
      </c>
      <c r="F439" s="341"/>
      <c r="G439" s="339">
        <f t="shared" si="31"/>
        <v>260</v>
      </c>
      <c r="H439" s="339">
        <f t="shared" si="31"/>
        <v>0</v>
      </c>
      <c r="I439" s="339">
        <f t="shared" si="29"/>
        <v>0</v>
      </c>
    </row>
    <row r="440" spans="1:10" s="218" customFormat="1" ht="31.5" x14ac:dyDescent="0.25">
      <c r="A440" s="340" t="s">
        <v>1147</v>
      </c>
      <c r="B440" s="337">
        <v>903</v>
      </c>
      <c r="C440" s="341" t="s">
        <v>315</v>
      </c>
      <c r="D440" s="341" t="s">
        <v>166</v>
      </c>
      <c r="E440" s="341" t="s">
        <v>966</v>
      </c>
      <c r="F440" s="341"/>
      <c r="G440" s="339">
        <f t="shared" si="31"/>
        <v>260</v>
      </c>
      <c r="H440" s="339">
        <f t="shared" si="31"/>
        <v>0</v>
      </c>
      <c r="I440" s="339">
        <f t="shared" si="29"/>
        <v>0</v>
      </c>
      <c r="J440" s="332"/>
    </row>
    <row r="441" spans="1:10" ht="15.75" x14ac:dyDescent="0.25">
      <c r="A441" s="342" t="s">
        <v>1146</v>
      </c>
      <c r="B441" s="336">
        <v>903</v>
      </c>
      <c r="C441" s="338" t="s">
        <v>315</v>
      </c>
      <c r="D441" s="338" t="s">
        <v>166</v>
      </c>
      <c r="E441" s="338" t="s">
        <v>1223</v>
      </c>
      <c r="F441" s="338"/>
      <c r="G441" s="343">
        <f t="shared" si="31"/>
        <v>260</v>
      </c>
      <c r="H441" s="343">
        <f t="shared" si="31"/>
        <v>0</v>
      </c>
      <c r="I441" s="343">
        <f t="shared" si="29"/>
        <v>0</v>
      </c>
    </row>
    <row r="442" spans="1:10" ht="31.5" x14ac:dyDescent="0.25">
      <c r="A442" s="342" t="s">
        <v>147</v>
      </c>
      <c r="B442" s="336">
        <v>903</v>
      </c>
      <c r="C442" s="338" t="s">
        <v>315</v>
      </c>
      <c r="D442" s="338" t="s">
        <v>166</v>
      </c>
      <c r="E442" s="338" t="s">
        <v>1223</v>
      </c>
      <c r="F442" s="338" t="s">
        <v>148</v>
      </c>
      <c r="G442" s="343">
        <f t="shared" si="31"/>
        <v>260</v>
      </c>
      <c r="H442" s="343">
        <f t="shared" si="31"/>
        <v>0</v>
      </c>
      <c r="I442" s="343">
        <f t="shared" si="29"/>
        <v>0</v>
      </c>
    </row>
    <row r="443" spans="1:10" ht="31.5" x14ac:dyDescent="0.25">
      <c r="A443" s="342" t="s">
        <v>149</v>
      </c>
      <c r="B443" s="336">
        <v>903</v>
      </c>
      <c r="C443" s="338" t="s">
        <v>315</v>
      </c>
      <c r="D443" s="338" t="s">
        <v>166</v>
      </c>
      <c r="E443" s="338" t="s">
        <v>1223</v>
      </c>
      <c r="F443" s="338" t="s">
        <v>150</v>
      </c>
      <c r="G443" s="343">
        <f>210+50</f>
        <v>260</v>
      </c>
      <c r="H443" s="343">
        <v>0</v>
      </c>
      <c r="I443" s="343">
        <f t="shared" si="29"/>
        <v>0</v>
      </c>
    </row>
    <row r="444" spans="1:10" ht="15.75" x14ac:dyDescent="0.25">
      <c r="A444" s="340" t="s">
        <v>259</v>
      </c>
      <c r="B444" s="337">
        <v>903</v>
      </c>
      <c r="C444" s="341" t="s">
        <v>260</v>
      </c>
      <c r="D444" s="341"/>
      <c r="E444" s="341"/>
      <c r="F444" s="341"/>
      <c r="G444" s="339">
        <f>G445</f>
        <v>1949.2</v>
      </c>
      <c r="H444" s="339">
        <f>H445</f>
        <v>475.55</v>
      </c>
      <c r="I444" s="339">
        <f t="shared" si="29"/>
        <v>24.397188590190847</v>
      </c>
    </row>
    <row r="445" spans="1:10" ht="15.75" x14ac:dyDescent="0.25">
      <c r="A445" s="340" t="s">
        <v>268</v>
      </c>
      <c r="B445" s="337">
        <v>903</v>
      </c>
      <c r="C445" s="341" t="s">
        <v>260</v>
      </c>
      <c r="D445" s="341" t="s">
        <v>231</v>
      </c>
      <c r="E445" s="341"/>
      <c r="F445" s="341"/>
      <c r="G445" s="339">
        <f>G446</f>
        <v>1949.2</v>
      </c>
      <c r="H445" s="339">
        <f>H446</f>
        <v>475.55</v>
      </c>
      <c r="I445" s="339">
        <f t="shared" si="29"/>
        <v>24.397188590190847</v>
      </c>
    </row>
    <row r="446" spans="1:10" ht="47.25" x14ac:dyDescent="0.25">
      <c r="A446" s="340" t="s">
        <v>359</v>
      </c>
      <c r="B446" s="337">
        <v>903</v>
      </c>
      <c r="C446" s="341" t="s">
        <v>260</v>
      </c>
      <c r="D446" s="341" t="s">
        <v>231</v>
      </c>
      <c r="E446" s="341" t="s">
        <v>360</v>
      </c>
      <c r="F446" s="341"/>
      <c r="G446" s="339">
        <f>G447+G452+G457+G468</f>
        <v>1949.2</v>
      </c>
      <c r="H446" s="339">
        <f>H447+H452+H457+H468</f>
        <v>475.55</v>
      </c>
      <c r="I446" s="339">
        <f t="shared" si="29"/>
        <v>24.397188590190847</v>
      </c>
    </row>
    <row r="447" spans="1:10" ht="15.75" x14ac:dyDescent="0.25">
      <c r="A447" s="340" t="s">
        <v>368</v>
      </c>
      <c r="B447" s="337">
        <v>903</v>
      </c>
      <c r="C447" s="341" t="s">
        <v>260</v>
      </c>
      <c r="D447" s="341" t="s">
        <v>231</v>
      </c>
      <c r="E447" s="341" t="s">
        <v>369</v>
      </c>
      <c r="F447" s="341"/>
      <c r="G447" s="339">
        <f t="shared" ref="G447:H450" si="32">G448</f>
        <v>169.20000000000002</v>
      </c>
      <c r="H447" s="339">
        <f t="shared" si="32"/>
        <v>0</v>
      </c>
      <c r="I447" s="339">
        <f t="shared" si="29"/>
        <v>0</v>
      </c>
    </row>
    <row r="448" spans="1:10" s="218" customFormat="1" ht="33.75" customHeight="1" x14ac:dyDescent="0.25">
      <c r="A448" s="340" t="s">
        <v>976</v>
      </c>
      <c r="B448" s="337">
        <v>903</v>
      </c>
      <c r="C448" s="341" t="s">
        <v>260</v>
      </c>
      <c r="D448" s="341" t="s">
        <v>231</v>
      </c>
      <c r="E448" s="341" t="s">
        <v>975</v>
      </c>
      <c r="F448" s="341"/>
      <c r="G448" s="339">
        <f t="shared" si="32"/>
        <v>169.20000000000002</v>
      </c>
      <c r="H448" s="339">
        <f t="shared" si="32"/>
        <v>0</v>
      </c>
      <c r="I448" s="339">
        <f t="shared" si="29"/>
        <v>0</v>
      </c>
      <c r="J448" s="332"/>
    </row>
    <row r="449" spans="1:10" ht="31.5" x14ac:dyDescent="0.25">
      <c r="A449" s="342" t="s">
        <v>869</v>
      </c>
      <c r="B449" s="336">
        <v>903</v>
      </c>
      <c r="C449" s="338" t="s">
        <v>260</v>
      </c>
      <c r="D449" s="338" t="s">
        <v>231</v>
      </c>
      <c r="E449" s="338" t="s">
        <v>977</v>
      </c>
      <c r="F449" s="338"/>
      <c r="G449" s="343">
        <f t="shared" si="32"/>
        <v>169.20000000000002</v>
      </c>
      <c r="H449" s="343">
        <f t="shared" si="32"/>
        <v>0</v>
      </c>
      <c r="I449" s="343">
        <f t="shared" si="29"/>
        <v>0</v>
      </c>
    </row>
    <row r="450" spans="1:10" ht="15.75" x14ac:dyDescent="0.25">
      <c r="A450" s="342" t="s">
        <v>264</v>
      </c>
      <c r="B450" s="336">
        <v>903</v>
      </c>
      <c r="C450" s="338" t="s">
        <v>260</v>
      </c>
      <c r="D450" s="338" t="s">
        <v>231</v>
      </c>
      <c r="E450" s="338" t="s">
        <v>977</v>
      </c>
      <c r="F450" s="338" t="s">
        <v>265</v>
      </c>
      <c r="G450" s="343">
        <f t="shared" si="32"/>
        <v>169.20000000000002</v>
      </c>
      <c r="H450" s="343">
        <f t="shared" si="32"/>
        <v>0</v>
      </c>
      <c r="I450" s="343">
        <f t="shared" si="29"/>
        <v>0</v>
      </c>
    </row>
    <row r="451" spans="1:10" ht="31.5" x14ac:dyDescent="0.25">
      <c r="A451" s="342" t="s">
        <v>266</v>
      </c>
      <c r="B451" s="336">
        <v>903</v>
      </c>
      <c r="C451" s="338" t="s">
        <v>260</v>
      </c>
      <c r="D451" s="338" t="s">
        <v>231</v>
      </c>
      <c r="E451" s="338" t="s">
        <v>977</v>
      </c>
      <c r="F451" s="338" t="s">
        <v>267</v>
      </c>
      <c r="G451" s="343">
        <f>28.9+140.3</f>
        <v>169.20000000000002</v>
      </c>
      <c r="H451" s="343">
        <v>0</v>
      </c>
      <c r="I451" s="343">
        <f t="shared" si="29"/>
        <v>0</v>
      </c>
    </row>
    <row r="452" spans="1:10" ht="31.5" x14ac:dyDescent="0.25">
      <c r="A452" s="340" t="s">
        <v>371</v>
      </c>
      <c r="B452" s="337">
        <v>903</v>
      </c>
      <c r="C452" s="337">
        <v>10</v>
      </c>
      <c r="D452" s="341" t="s">
        <v>231</v>
      </c>
      <c r="E452" s="341" t="s">
        <v>372</v>
      </c>
      <c r="F452" s="341"/>
      <c r="G452" s="339">
        <f>G454</f>
        <v>420</v>
      </c>
      <c r="H452" s="339">
        <f>H454</f>
        <v>130</v>
      </c>
      <c r="I452" s="339">
        <f t="shared" si="29"/>
        <v>30.952380952380953</v>
      </c>
    </row>
    <row r="453" spans="1:10" s="218" customFormat="1" ht="31.5" x14ac:dyDescent="0.25">
      <c r="A453" s="340" t="s">
        <v>1148</v>
      </c>
      <c r="B453" s="337">
        <v>903</v>
      </c>
      <c r="C453" s="337">
        <v>10</v>
      </c>
      <c r="D453" s="341" t="s">
        <v>231</v>
      </c>
      <c r="E453" s="341" t="s">
        <v>978</v>
      </c>
      <c r="F453" s="341"/>
      <c r="G453" s="339">
        <f t="shared" ref="G453:H455" si="33">G454</f>
        <v>420</v>
      </c>
      <c r="H453" s="339">
        <f t="shared" si="33"/>
        <v>130</v>
      </c>
      <c r="I453" s="339">
        <f t="shared" si="29"/>
        <v>30.952380952380953</v>
      </c>
      <c r="J453" s="332"/>
    </row>
    <row r="454" spans="1:10" ht="15.75" x14ac:dyDescent="0.25">
      <c r="A454" s="342" t="s">
        <v>1203</v>
      </c>
      <c r="B454" s="336">
        <v>903</v>
      </c>
      <c r="C454" s="338" t="s">
        <v>260</v>
      </c>
      <c r="D454" s="338" t="s">
        <v>231</v>
      </c>
      <c r="E454" s="338" t="s">
        <v>979</v>
      </c>
      <c r="F454" s="338"/>
      <c r="G454" s="343">
        <f t="shared" si="33"/>
        <v>420</v>
      </c>
      <c r="H454" s="343">
        <f t="shared" si="33"/>
        <v>130</v>
      </c>
      <c r="I454" s="343">
        <f t="shared" si="29"/>
        <v>30.952380952380953</v>
      </c>
    </row>
    <row r="455" spans="1:10" ht="15.75" x14ac:dyDescent="0.25">
      <c r="A455" s="342" t="s">
        <v>264</v>
      </c>
      <c r="B455" s="336">
        <v>903</v>
      </c>
      <c r="C455" s="338" t="s">
        <v>260</v>
      </c>
      <c r="D455" s="338" t="s">
        <v>231</v>
      </c>
      <c r="E455" s="338" t="s">
        <v>979</v>
      </c>
      <c r="F455" s="338" t="s">
        <v>265</v>
      </c>
      <c r="G455" s="343">
        <f t="shared" si="33"/>
        <v>420</v>
      </c>
      <c r="H455" s="343">
        <f t="shared" si="33"/>
        <v>130</v>
      </c>
      <c r="I455" s="343">
        <f t="shared" si="29"/>
        <v>30.952380952380953</v>
      </c>
    </row>
    <row r="456" spans="1:10" ht="15.75" x14ac:dyDescent="0.25">
      <c r="A456" s="342" t="s">
        <v>364</v>
      </c>
      <c r="B456" s="336">
        <v>903</v>
      </c>
      <c r="C456" s="338" t="s">
        <v>260</v>
      </c>
      <c r="D456" s="338" t="s">
        <v>231</v>
      </c>
      <c r="E456" s="338" t="s">
        <v>979</v>
      </c>
      <c r="F456" s="338" t="s">
        <v>365</v>
      </c>
      <c r="G456" s="343">
        <v>420</v>
      </c>
      <c r="H456" s="343">
        <v>130</v>
      </c>
      <c r="I456" s="343">
        <f t="shared" si="29"/>
        <v>30.952380952380953</v>
      </c>
    </row>
    <row r="457" spans="1:10" ht="15.75" x14ac:dyDescent="0.25">
      <c r="A457" s="340" t="s">
        <v>374</v>
      </c>
      <c r="B457" s="337">
        <v>903</v>
      </c>
      <c r="C457" s="337">
        <v>10</v>
      </c>
      <c r="D457" s="341" t="s">
        <v>231</v>
      </c>
      <c r="E457" s="341" t="s">
        <v>375</v>
      </c>
      <c r="F457" s="341"/>
      <c r="G457" s="339">
        <f>G462+G458</f>
        <v>1110</v>
      </c>
      <c r="H457" s="339">
        <f>H462+H458</f>
        <v>261.55</v>
      </c>
      <c r="I457" s="339">
        <f t="shared" si="29"/>
        <v>23.563063063063066</v>
      </c>
    </row>
    <row r="458" spans="1:10" s="218" customFormat="1" ht="31.5" x14ac:dyDescent="0.25">
      <c r="A458" s="340" t="s">
        <v>1205</v>
      </c>
      <c r="B458" s="337">
        <v>903</v>
      </c>
      <c r="C458" s="341" t="s">
        <v>260</v>
      </c>
      <c r="D458" s="341" t="s">
        <v>231</v>
      </c>
      <c r="E458" s="341" t="s">
        <v>981</v>
      </c>
      <c r="F458" s="341"/>
      <c r="G458" s="339">
        <f t="shared" ref="G458:H460" si="34">G459</f>
        <v>630</v>
      </c>
      <c r="H458" s="339">
        <f t="shared" si="34"/>
        <v>231.15</v>
      </c>
      <c r="I458" s="339">
        <f t="shared" si="29"/>
        <v>36.69047619047619</v>
      </c>
      <c r="J458" s="332"/>
    </row>
    <row r="459" spans="1:10" s="218" customFormat="1" ht="34.5" customHeight="1" x14ac:dyDescent="0.25">
      <c r="A459" s="99" t="s">
        <v>1206</v>
      </c>
      <c r="B459" s="336">
        <v>903</v>
      </c>
      <c r="C459" s="338" t="s">
        <v>260</v>
      </c>
      <c r="D459" s="338" t="s">
        <v>231</v>
      </c>
      <c r="E459" s="338" t="s">
        <v>982</v>
      </c>
      <c r="F459" s="338"/>
      <c r="G459" s="343">
        <f t="shared" si="34"/>
        <v>630</v>
      </c>
      <c r="H459" s="343">
        <f t="shared" si="34"/>
        <v>231.15</v>
      </c>
      <c r="I459" s="343">
        <f t="shared" ref="I459:I522" si="35">H459/G459*100</f>
        <v>36.69047619047619</v>
      </c>
      <c r="J459" s="332"/>
    </row>
    <row r="460" spans="1:10" s="218" customFormat="1" ht="15.75" x14ac:dyDescent="0.25">
      <c r="A460" s="342" t="s">
        <v>264</v>
      </c>
      <c r="B460" s="336">
        <v>903</v>
      </c>
      <c r="C460" s="338" t="s">
        <v>260</v>
      </c>
      <c r="D460" s="338" t="s">
        <v>231</v>
      </c>
      <c r="E460" s="338" t="s">
        <v>982</v>
      </c>
      <c r="F460" s="338" t="s">
        <v>265</v>
      </c>
      <c r="G460" s="343">
        <f t="shared" si="34"/>
        <v>630</v>
      </c>
      <c r="H460" s="343">
        <f t="shared" si="34"/>
        <v>231.15</v>
      </c>
      <c r="I460" s="343">
        <f t="shared" si="35"/>
        <v>36.69047619047619</v>
      </c>
      <c r="J460" s="332"/>
    </row>
    <row r="461" spans="1:10" s="218" customFormat="1" ht="15.75" x14ac:dyDescent="0.25">
      <c r="A461" s="342" t="s">
        <v>364</v>
      </c>
      <c r="B461" s="336">
        <v>903</v>
      </c>
      <c r="C461" s="338" t="s">
        <v>260</v>
      </c>
      <c r="D461" s="338" t="s">
        <v>231</v>
      </c>
      <c r="E461" s="338" t="s">
        <v>982</v>
      </c>
      <c r="F461" s="338" t="s">
        <v>365</v>
      </c>
      <c r="G461" s="343">
        <v>630</v>
      </c>
      <c r="H461" s="343">
        <v>231.15</v>
      </c>
      <c r="I461" s="343">
        <f t="shared" si="35"/>
        <v>36.69047619047619</v>
      </c>
      <c r="J461" s="332"/>
    </row>
    <row r="462" spans="1:10" s="218" customFormat="1" ht="31.5" x14ac:dyDescent="0.25">
      <c r="A462" s="340" t="s">
        <v>980</v>
      </c>
      <c r="B462" s="337">
        <v>903</v>
      </c>
      <c r="C462" s="337">
        <v>10</v>
      </c>
      <c r="D462" s="341" t="s">
        <v>231</v>
      </c>
      <c r="E462" s="341" t="s">
        <v>983</v>
      </c>
      <c r="F462" s="341"/>
      <c r="G462" s="339">
        <f>G463+G466</f>
        <v>480</v>
      </c>
      <c r="H462" s="339">
        <f>H463+H466</f>
        <v>30.4</v>
      </c>
      <c r="I462" s="339">
        <f t="shared" si="35"/>
        <v>6.3333333333333321</v>
      </c>
      <c r="J462" s="332"/>
    </row>
    <row r="463" spans="1:10" ht="15.75" x14ac:dyDescent="0.25">
      <c r="A463" s="342" t="s">
        <v>1149</v>
      </c>
      <c r="B463" s="336">
        <v>903</v>
      </c>
      <c r="C463" s="338" t="s">
        <v>260</v>
      </c>
      <c r="D463" s="338" t="s">
        <v>231</v>
      </c>
      <c r="E463" s="338" t="s">
        <v>984</v>
      </c>
      <c r="F463" s="338"/>
      <c r="G463" s="343">
        <f>G464</f>
        <v>270</v>
      </c>
      <c r="H463" s="343">
        <f>H464</f>
        <v>30.4</v>
      </c>
      <c r="I463" s="343">
        <f t="shared" si="35"/>
        <v>11.25925925925926</v>
      </c>
    </row>
    <row r="464" spans="1:10" ht="31.5" x14ac:dyDescent="0.25">
      <c r="A464" s="342" t="s">
        <v>147</v>
      </c>
      <c r="B464" s="336">
        <v>903</v>
      </c>
      <c r="C464" s="338" t="s">
        <v>260</v>
      </c>
      <c r="D464" s="338" t="s">
        <v>231</v>
      </c>
      <c r="E464" s="338" t="s">
        <v>984</v>
      </c>
      <c r="F464" s="338" t="s">
        <v>148</v>
      </c>
      <c r="G464" s="343">
        <f>G465</f>
        <v>270</v>
      </c>
      <c r="H464" s="343">
        <f>H465</f>
        <v>30.4</v>
      </c>
      <c r="I464" s="343">
        <f t="shared" si="35"/>
        <v>11.25925925925926</v>
      </c>
    </row>
    <row r="465" spans="1:10" ht="31.5" x14ac:dyDescent="0.25">
      <c r="A465" s="342" t="s">
        <v>149</v>
      </c>
      <c r="B465" s="336">
        <v>903</v>
      </c>
      <c r="C465" s="338" t="s">
        <v>260</v>
      </c>
      <c r="D465" s="338" t="s">
        <v>231</v>
      </c>
      <c r="E465" s="338" t="s">
        <v>984</v>
      </c>
      <c r="F465" s="338" t="s">
        <v>150</v>
      </c>
      <c r="G465" s="343">
        <v>270</v>
      </c>
      <c r="H465" s="343">
        <v>30.4</v>
      </c>
      <c r="I465" s="343">
        <f t="shared" si="35"/>
        <v>11.25925925925926</v>
      </c>
    </row>
    <row r="466" spans="1:10" s="218" customFormat="1" ht="15.75" x14ac:dyDescent="0.25">
      <c r="A466" s="342" t="s">
        <v>264</v>
      </c>
      <c r="B466" s="336">
        <v>903</v>
      </c>
      <c r="C466" s="338" t="s">
        <v>260</v>
      </c>
      <c r="D466" s="338" t="s">
        <v>231</v>
      </c>
      <c r="E466" s="338" t="s">
        <v>984</v>
      </c>
      <c r="F466" s="338" t="s">
        <v>265</v>
      </c>
      <c r="G466" s="343">
        <f>G467</f>
        <v>210</v>
      </c>
      <c r="H466" s="343">
        <f>H467</f>
        <v>0</v>
      </c>
      <c r="I466" s="343">
        <f t="shared" si="35"/>
        <v>0</v>
      </c>
      <c r="J466" s="332"/>
    </row>
    <row r="467" spans="1:10" s="218" customFormat="1" ht="15.75" x14ac:dyDescent="0.25">
      <c r="A467" s="342" t="s">
        <v>364</v>
      </c>
      <c r="B467" s="336">
        <v>903</v>
      </c>
      <c r="C467" s="338" t="s">
        <v>260</v>
      </c>
      <c r="D467" s="338" t="s">
        <v>231</v>
      </c>
      <c r="E467" s="338" t="s">
        <v>984</v>
      </c>
      <c r="F467" s="338" t="s">
        <v>365</v>
      </c>
      <c r="G467" s="343">
        <v>210</v>
      </c>
      <c r="H467" s="343">
        <v>0</v>
      </c>
      <c r="I467" s="343">
        <f t="shared" si="35"/>
        <v>0</v>
      </c>
      <c r="J467" s="332"/>
    </row>
    <row r="468" spans="1:10" ht="37.5" customHeight="1" x14ac:dyDescent="0.25">
      <c r="A468" s="340" t="s">
        <v>377</v>
      </c>
      <c r="B468" s="337">
        <v>903</v>
      </c>
      <c r="C468" s="341" t="s">
        <v>260</v>
      </c>
      <c r="D468" s="341" t="s">
        <v>231</v>
      </c>
      <c r="E468" s="341" t="s">
        <v>378</v>
      </c>
      <c r="F468" s="341"/>
      <c r="G468" s="339">
        <f t="shared" ref="G468:H471" si="36">G469</f>
        <v>250</v>
      </c>
      <c r="H468" s="339">
        <f t="shared" si="36"/>
        <v>84</v>
      </c>
      <c r="I468" s="339">
        <f t="shared" si="35"/>
        <v>33.6</v>
      </c>
    </row>
    <row r="469" spans="1:10" s="218" customFormat="1" ht="38.25" customHeight="1" x14ac:dyDescent="0.25">
      <c r="A469" s="340" t="s">
        <v>1208</v>
      </c>
      <c r="B469" s="337">
        <v>903</v>
      </c>
      <c r="C469" s="341" t="s">
        <v>260</v>
      </c>
      <c r="D469" s="341" t="s">
        <v>231</v>
      </c>
      <c r="E469" s="341" t="s">
        <v>986</v>
      </c>
      <c r="F469" s="341"/>
      <c r="G469" s="339">
        <f t="shared" si="36"/>
        <v>250</v>
      </c>
      <c r="H469" s="339">
        <f t="shared" si="36"/>
        <v>84</v>
      </c>
      <c r="I469" s="339">
        <f t="shared" si="35"/>
        <v>33.6</v>
      </c>
      <c r="J469" s="332"/>
    </row>
    <row r="470" spans="1:10" ht="35.450000000000003" customHeight="1" x14ac:dyDescent="0.25">
      <c r="A470" s="342" t="s">
        <v>1207</v>
      </c>
      <c r="B470" s="336">
        <v>903</v>
      </c>
      <c r="C470" s="338" t="s">
        <v>260</v>
      </c>
      <c r="D470" s="338" t="s">
        <v>231</v>
      </c>
      <c r="E470" s="338" t="s">
        <v>985</v>
      </c>
      <c r="F470" s="338"/>
      <c r="G470" s="343">
        <f t="shared" si="36"/>
        <v>250</v>
      </c>
      <c r="H470" s="343">
        <f t="shared" si="36"/>
        <v>84</v>
      </c>
      <c r="I470" s="343">
        <f t="shared" si="35"/>
        <v>33.6</v>
      </c>
    </row>
    <row r="471" spans="1:10" ht="15.75" x14ac:dyDescent="0.25">
      <c r="A471" s="342" t="s">
        <v>264</v>
      </c>
      <c r="B471" s="336">
        <v>903</v>
      </c>
      <c r="C471" s="338" t="s">
        <v>260</v>
      </c>
      <c r="D471" s="338" t="s">
        <v>231</v>
      </c>
      <c r="E471" s="338" t="s">
        <v>985</v>
      </c>
      <c r="F471" s="338" t="s">
        <v>265</v>
      </c>
      <c r="G471" s="343">
        <f t="shared" si="36"/>
        <v>250</v>
      </c>
      <c r="H471" s="343">
        <f t="shared" si="36"/>
        <v>84</v>
      </c>
      <c r="I471" s="343">
        <f t="shared" si="35"/>
        <v>33.6</v>
      </c>
    </row>
    <row r="472" spans="1:10" ht="15.75" x14ac:dyDescent="0.25">
      <c r="A472" s="342" t="s">
        <v>364</v>
      </c>
      <c r="B472" s="336">
        <v>903</v>
      </c>
      <c r="C472" s="338" t="s">
        <v>260</v>
      </c>
      <c r="D472" s="338" t="s">
        <v>231</v>
      </c>
      <c r="E472" s="338" t="s">
        <v>985</v>
      </c>
      <c r="F472" s="338" t="s">
        <v>365</v>
      </c>
      <c r="G472" s="343">
        <v>250</v>
      </c>
      <c r="H472" s="343">
        <v>84</v>
      </c>
      <c r="I472" s="343">
        <f t="shared" si="35"/>
        <v>33.6</v>
      </c>
    </row>
    <row r="473" spans="1:10" s="218" customFormat="1" ht="15.75" x14ac:dyDescent="0.25">
      <c r="A473" s="340" t="s">
        <v>598</v>
      </c>
      <c r="B473" s="337">
        <v>903</v>
      </c>
      <c r="C473" s="341" t="s">
        <v>254</v>
      </c>
      <c r="D473" s="338"/>
      <c r="E473" s="338"/>
      <c r="F473" s="338"/>
      <c r="G473" s="339">
        <f>G474</f>
        <v>6661</v>
      </c>
      <c r="H473" s="339">
        <f>H474</f>
        <v>3558.0699999999997</v>
      </c>
      <c r="I473" s="339">
        <f t="shared" si="35"/>
        <v>53.416453985888005</v>
      </c>
      <c r="J473" s="332"/>
    </row>
    <row r="474" spans="1:10" s="218" customFormat="1" ht="15.75" x14ac:dyDescent="0.25">
      <c r="A474" s="340" t="s">
        <v>599</v>
      </c>
      <c r="B474" s="337">
        <v>903</v>
      </c>
      <c r="C474" s="341" t="s">
        <v>254</v>
      </c>
      <c r="D474" s="341" t="s">
        <v>229</v>
      </c>
      <c r="E474" s="341"/>
      <c r="F474" s="341"/>
      <c r="G474" s="339">
        <f>G475+G487</f>
        <v>6661</v>
      </c>
      <c r="H474" s="339">
        <f>H475+H487</f>
        <v>3558.0699999999997</v>
      </c>
      <c r="I474" s="339">
        <f t="shared" si="35"/>
        <v>53.416453985888005</v>
      </c>
      <c r="J474" s="332"/>
    </row>
    <row r="475" spans="1:10" s="218" customFormat="1" ht="15.75" x14ac:dyDescent="0.25">
      <c r="A475" s="340" t="s">
        <v>157</v>
      </c>
      <c r="B475" s="337">
        <v>903</v>
      </c>
      <c r="C475" s="341" t="s">
        <v>254</v>
      </c>
      <c r="D475" s="341" t="s">
        <v>229</v>
      </c>
      <c r="E475" s="341" t="s">
        <v>912</v>
      </c>
      <c r="F475" s="341"/>
      <c r="G475" s="339">
        <f>G476</f>
        <v>6589</v>
      </c>
      <c r="H475" s="339">
        <f>H476</f>
        <v>3528.0699999999997</v>
      </c>
      <c r="I475" s="339">
        <f t="shared" si="35"/>
        <v>53.544847473061161</v>
      </c>
      <c r="J475" s="332"/>
    </row>
    <row r="476" spans="1:10" s="218" customFormat="1" ht="15.75" x14ac:dyDescent="0.25">
      <c r="A476" s="340" t="s">
        <v>1090</v>
      </c>
      <c r="B476" s="337">
        <v>903</v>
      </c>
      <c r="C476" s="341" t="s">
        <v>254</v>
      </c>
      <c r="D476" s="341" t="s">
        <v>229</v>
      </c>
      <c r="E476" s="341" t="s">
        <v>1089</v>
      </c>
      <c r="F476" s="341"/>
      <c r="G476" s="339">
        <f>G477+G484</f>
        <v>6589</v>
      </c>
      <c r="H476" s="339">
        <f>H477+H484</f>
        <v>3528.0699999999997</v>
      </c>
      <c r="I476" s="339">
        <f t="shared" si="35"/>
        <v>53.544847473061161</v>
      </c>
      <c r="J476" s="332"/>
    </row>
    <row r="477" spans="1:10" s="218" customFormat="1" ht="15.75" x14ac:dyDescent="0.25">
      <c r="A477" s="342" t="s">
        <v>834</v>
      </c>
      <c r="B477" s="336">
        <v>903</v>
      </c>
      <c r="C477" s="338" t="s">
        <v>254</v>
      </c>
      <c r="D477" s="338" t="s">
        <v>229</v>
      </c>
      <c r="E477" s="338" t="s">
        <v>1091</v>
      </c>
      <c r="F477" s="338"/>
      <c r="G477" s="343">
        <f>G478+G480+G482</f>
        <v>6379</v>
      </c>
      <c r="H477" s="343">
        <f>H478+H480+H482</f>
        <v>3441.7</v>
      </c>
      <c r="I477" s="343">
        <f t="shared" si="35"/>
        <v>53.953597742592883</v>
      </c>
      <c r="J477" s="332"/>
    </row>
    <row r="478" spans="1:10" s="218" customFormat="1" ht="63" x14ac:dyDescent="0.25">
      <c r="A478" s="342" t="s">
        <v>143</v>
      </c>
      <c r="B478" s="336">
        <v>903</v>
      </c>
      <c r="C478" s="338" t="s">
        <v>254</v>
      </c>
      <c r="D478" s="338" t="s">
        <v>229</v>
      </c>
      <c r="E478" s="338" t="s">
        <v>1091</v>
      </c>
      <c r="F478" s="338" t="s">
        <v>144</v>
      </c>
      <c r="G478" s="343">
        <f>G479</f>
        <v>5525</v>
      </c>
      <c r="H478" s="343">
        <f>H479</f>
        <v>3080.5</v>
      </c>
      <c r="I478" s="343">
        <f t="shared" si="35"/>
        <v>55.755656108597286</v>
      </c>
      <c r="J478" s="332"/>
    </row>
    <row r="479" spans="1:10" s="218" customFormat="1" ht="15.75" x14ac:dyDescent="0.25">
      <c r="A479" s="342" t="s">
        <v>224</v>
      </c>
      <c r="B479" s="336">
        <v>903</v>
      </c>
      <c r="C479" s="338" t="s">
        <v>254</v>
      </c>
      <c r="D479" s="338" t="s">
        <v>229</v>
      </c>
      <c r="E479" s="338" t="s">
        <v>1091</v>
      </c>
      <c r="F479" s="338" t="s">
        <v>225</v>
      </c>
      <c r="G479" s="344">
        <f>5853-357.5-36+280.5-215</f>
        <v>5525</v>
      </c>
      <c r="H479" s="344">
        <v>3080.5</v>
      </c>
      <c r="I479" s="343">
        <f t="shared" si="35"/>
        <v>55.755656108597286</v>
      </c>
      <c r="J479" s="332"/>
    </row>
    <row r="480" spans="1:10" s="218" customFormat="1" ht="31.5" x14ac:dyDescent="0.25">
      <c r="A480" s="342" t="s">
        <v>147</v>
      </c>
      <c r="B480" s="336">
        <v>903</v>
      </c>
      <c r="C480" s="338" t="s">
        <v>254</v>
      </c>
      <c r="D480" s="338" t="s">
        <v>229</v>
      </c>
      <c r="E480" s="338" t="s">
        <v>1091</v>
      </c>
      <c r="F480" s="338" t="s">
        <v>148</v>
      </c>
      <c r="G480" s="343">
        <f>G481</f>
        <v>804</v>
      </c>
      <c r="H480" s="343">
        <f>H481</f>
        <v>344.2</v>
      </c>
      <c r="I480" s="343">
        <f t="shared" si="35"/>
        <v>42.810945273631837</v>
      </c>
      <c r="J480" s="332"/>
    </row>
    <row r="481" spans="1:10" s="218" customFormat="1" ht="31.5" x14ac:dyDescent="0.25">
      <c r="A481" s="342" t="s">
        <v>149</v>
      </c>
      <c r="B481" s="336">
        <v>903</v>
      </c>
      <c r="C481" s="338" t="s">
        <v>254</v>
      </c>
      <c r="D481" s="338" t="s">
        <v>229</v>
      </c>
      <c r="E481" s="338" t="s">
        <v>1091</v>
      </c>
      <c r="F481" s="338" t="s">
        <v>150</v>
      </c>
      <c r="G481" s="344">
        <f>1456-797+145</f>
        <v>804</v>
      </c>
      <c r="H481" s="344">
        <v>344.2</v>
      </c>
      <c r="I481" s="343">
        <f t="shared" si="35"/>
        <v>42.810945273631837</v>
      </c>
      <c r="J481" s="332"/>
    </row>
    <row r="482" spans="1:10" s="218" customFormat="1" ht="15.75" x14ac:dyDescent="0.25">
      <c r="A482" s="342" t="s">
        <v>151</v>
      </c>
      <c r="B482" s="336">
        <v>903</v>
      </c>
      <c r="C482" s="338" t="s">
        <v>254</v>
      </c>
      <c r="D482" s="338" t="s">
        <v>229</v>
      </c>
      <c r="E482" s="338" t="s">
        <v>1091</v>
      </c>
      <c r="F482" s="338" t="s">
        <v>161</v>
      </c>
      <c r="G482" s="343">
        <f>G483</f>
        <v>50</v>
      </c>
      <c r="H482" s="343">
        <f>H483</f>
        <v>17</v>
      </c>
      <c r="I482" s="343">
        <f t="shared" si="35"/>
        <v>34</v>
      </c>
      <c r="J482" s="332"/>
    </row>
    <row r="483" spans="1:10" s="218" customFormat="1" ht="15.75" x14ac:dyDescent="0.25">
      <c r="A483" s="342" t="s">
        <v>584</v>
      </c>
      <c r="B483" s="336">
        <v>903</v>
      </c>
      <c r="C483" s="338" t="s">
        <v>254</v>
      </c>
      <c r="D483" s="338" t="s">
        <v>229</v>
      </c>
      <c r="E483" s="338" t="s">
        <v>1091</v>
      </c>
      <c r="F483" s="338" t="s">
        <v>154</v>
      </c>
      <c r="G483" s="343">
        <v>50</v>
      </c>
      <c r="H483" s="343">
        <v>17</v>
      </c>
      <c r="I483" s="343">
        <f t="shared" si="35"/>
        <v>34</v>
      </c>
      <c r="J483" s="332"/>
    </row>
    <row r="484" spans="1:10" s="218" customFormat="1" ht="31.5" x14ac:dyDescent="0.25">
      <c r="A484" s="342" t="s">
        <v>885</v>
      </c>
      <c r="B484" s="336">
        <v>903</v>
      </c>
      <c r="C484" s="338" t="s">
        <v>254</v>
      </c>
      <c r="D484" s="338" t="s">
        <v>229</v>
      </c>
      <c r="E484" s="338" t="s">
        <v>1092</v>
      </c>
      <c r="F484" s="338"/>
      <c r="G484" s="343">
        <f>G485</f>
        <v>210</v>
      </c>
      <c r="H484" s="343">
        <f>H485</f>
        <v>86.37</v>
      </c>
      <c r="I484" s="343">
        <f t="shared" si="35"/>
        <v>41.128571428571433</v>
      </c>
      <c r="J484" s="332"/>
    </row>
    <row r="485" spans="1:10" s="218" customFormat="1" ht="63" x14ac:dyDescent="0.25">
      <c r="A485" s="342" t="s">
        <v>143</v>
      </c>
      <c r="B485" s="336">
        <v>903</v>
      </c>
      <c r="C485" s="338" t="s">
        <v>254</v>
      </c>
      <c r="D485" s="338" t="s">
        <v>229</v>
      </c>
      <c r="E485" s="338" t="s">
        <v>1092</v>
      </c>
      <c r="F485" s="338" t="s">
        <v>144</v>
      </c>
      <c r="G485" s="343">
        <f>G486</f>
        <v>210</v>
      </c>
      <c r="H485" s="343">
        <f>H486</f>
        <v>86.37</v>
      </c>
      <c r="I485" s="343">
        <f t="shared" si="35"/>
        <v>41.128571428571433</v>
      </c>
      <c r="J485" s="332"/>
    </row>
    <row r="486" spans="1:10" s="218" customFormat="1" ht="15.75" x14ac:dyDescent="0.25">
      <c r="A486" s="342" t="s">
        <v>224</v>
      </c>
      <c r="B486" s="336">
        <v>903</v>
      </c>
      <c r="C486" s="338" t="s">
        <v>254</v>
      </c>
      <c r="D486" s="338" t="s">
        <v>229</v>
      </c>
      <c r="E486" s="338" t="s">
        <v>1092</v>
      </c>
      <c r="F486" s="338" t="s">
        <v>225</v>
      </c>
      <c r="G486" s="343">
        <v>210</v>
      </c>
      <c r="H486" s="343">
        <v>86.37</v>
      </c>
      <c r="I486" s="343">
        <f t="shared" si="35"/>
        <v>41.128571428571433</v>
      </c>
      <c r="J486" s="332"/>
    </row>
    <row r="487" spans="1:10" s="218" customFormat="1" ht="47.25" x14ac:dyDescent="0.25">
      <c r="A487" s="41" t="s">
        <v>1179</v>
      </c>
      <c r="B487" s="337">
        <v>903</v>
      </c>
      <c r="C487" s="341" t="s">
        <v>254</v>
      </c>
      <c r="D487" s="341" t="s">
        <v>229</v>
      </c>
      <c r="E487" s="341" t="s">
        <v>728</v>
      </c>
      <c r="F487" s="235"/>
      <c r="G487" s="339">
        <f>G489</f>
        <v>72</v>
      </c>
      <c r="H487" s="339">
        <f>H489</f>
        <v>30</v>
      </c>
      <c r="I487" s="339">
        <f t="shared" si="35"/>
        <v>41.666666666666671</v>
      </c>
      <c r="J487" s="332"/>
    </row>
    <row r="488" spans="1:10" s="218" customFormat="1" ht="47.25" x14ac:dyDescent="0.25">
      <c r="A488" s="41" t="s">
        <v>949</v>
      </c>
      <c r="B488" s="337">
        <v>903</v>
      </c>
      <c r="C488" s="341" t="s">
        <v>254</v>
      </c>
      <c r="D488" s="341" t="s">
        <v>229</v>
      </c>
      <c r="E488" s="341" t="s">
        <v>947</v>
      </c>
      <c r="F488" s="235"/>
      <c r="G488" s="339">
        <f t="shared" ref="G488:H490" si="37">G489</f>
        <v>72</v>
      </c>
      <c r="H488" s="339">
        <f t="shared" si="37"/>
        <v>30</v>
      </c>
      <c r="I488" s="339">
        <f t="shared" si="35"/>
        <v>41.666666666666671</v>
      </c>
      <c r="J488" s="332"/>
    </row>
    <row r="489" spans="1:10" s="218" customFormat="1" ht="31.5" x14ac:dyDescent="0.25">
      <c r="A489" s="99" t="s">
        <v>1157</v>
      </c>
      <c r="B489" s="336">
        <v>903</v>
      </c>
      <c r="C489" s="338" t="s">
        <v>254</v>
      </c>
      <c r="D489" s="338" t="s">
        <v>229</v>
      </c>
      <c r="E489" s="338" t="s">
        <v>948</v>
      </c>
      <c r="F489" s="32"/>
      <c r="G489" s="343">
        <f t="shared" si="37"/>
        <v>72</v>
      </c>
      <c r="H489" s="343">
        <f t="shared" si="37"/>
        <v>30</v>
      </c>
      <c r="I489" s="343">
        <f t="shared" si="35"/>
        <v>41.666666666666671</v>
      </c>
      <c r="J489" s="332"/>
    </row>
    <row r="490" spans="1:10" s="218" customFormat="1" ht="31.5" x14ac:dyDescent="0.25">
      <c r="A490" s="342" t="s">
        <v>147</v>
      </c>
      <c r="B490" s="336">
        <v>903</v>
      </c>
      <c r="C490" s="338" t="s">
        <v>254</v>
      </c>
      <c r="D490" s="338" t="s">
        <v>229</v>
      </c>
      <c r="E490" s="338" t="s">
        <v>948</v>
      </c>
      <c r="F490" s="32" t="s">
        <v>148</v>
      </c>
      <c r="G490" s="343">
        <f t="shared" si="37"/>
        <v>72</v>
      </c>
      <c r="H490" s="343">
        <f t="shared" si="37"/>
        <v>30</v>
      </c>
      <c r="I490" s="343">
        <f t="shared" si="35"/>
        <v>41.666666666666671</v>
      </c>
      <c r="J490" s="332"/>
    </row>
    <row r="491" spans="1:10" s="218" customFormat="1" ht="31.5" x14ac:dyDescent="0.25">
      <c r="A491" s="342" t="s">
        <v>149</v>
      </c>
      <c r="B491" s="336">
        <v>903</v>
      </c>
      <c r="C491" s="338" t="s">
        <v>254</v>
      </c>
      <c r="D491" s="338" t="s">
        <v>229</v>
      </c>
      <c r="E491" s="338" t="s">
        <v>948</v>
      </c>
      <c r="F491" s="32" t="s">
        <v>150</v>
      </c>
      <c r="G491" s="343">
        <f>60+12</f>
        <v>72</v>
      </c>
      <c r="H491" s="343">
        <v>30</v>
      </c>
      <c r="I491" s="343">
        <f t="shared" si="35"/>
        <v>41.666666666666671</v>
      </c>
      <c r="J491" s="332"/>
    </row>
    <row r="492" spans="1:10" ht="31.5" x14ac:dyDescent="0.25">
      <c r="A492" s="337" t="s">
        <v>403</v>
      </c>
      <c r="B492" s="337">
        <v>905</v>
      </c>
      <c r="C492" s="338"/>
      <c r="D492" s="338"/>
      <c r="E492" s="338"/>
      <c r="F492" s="338"/>
      <c r="G492" s="339">
        <f>G493+G525+G535</f>
        <v>19699.719999999998</v>
      </c>
      <c r="H492" s="339">
        <f>H493+H525+H535</f>
        <v>9199.2000000000007</v>
      </c>
      <c r="I492" s="339">
        <f t="shared" si="35"/>
        <v>46.697110415782568</v>
      </c>
    </row>
    <row r="493" spans="1:10" ht="15.75" x14ac:dyDescent="0.25">
      <c r="A493" s="340" t="s">
        <v>133</v>
      </c>
      <c r="B493" s="337">
        <v>905</v>
      </c>
      <c r="C493" s="341" t="s">
        <v>134</v>
      </c>
      <c r="D493" s="338"/>
      <c r="E493" s="338"/>
      <c r="F493" s="338"/>
      <c r="G493" s="339">
        <f>G494+G511</f>
        <v>17227.519999999997</v>
      </c>
      <c r="H493" s="339">
        <f>H494+H511</f>
        <v>8743.2000000000007</v>
      </c>
      <c r="I493" s="339">
        <f t="shared" si="35"/>
        <v>50.751355969982924</v>
      </c>
    </row>
    <row r="494" spans="1:10" ht="65.25" customHeight="1" x14ac:dyDescent="0.25">
      <c r="A494" s="340" t="s">
        <v>165</v>
      </c>
      <c r="B494" s="337">
        <v>905</v>
      </c>
      <c r="C494" s="341" t="s">
        <v>134</v>
      </c>
      <c r="D494" s="341" t="s">
        <v>166</v>
      </c>
      <c r="E494" s="341"/>
      <c r="F494" s="341"/>
      <c r="G494" s="339">
        <f>G495</f>
        <v>11488.4</v>
      </c>
      <c r="H494" s="339">
        <f>H495</f>
        <v>6028.2</v>
      </c>
      <c r="I494" s="339">
        <f t="shared" si="35"/>
        <v>52.472058772326868</v>
      </c>
    </row>
    <row r="495" spans="1:10" ht="31.5" x14ac:dyDescent="0.25">
      <c r="A495" s="340" t="s">
        <v>990</v>
      </c>
      <c r="B495" s="337">
        <v>905</v>
      </c>
      <c r="C495" s="341" t="s">
        <v>134</v>
      </c>
      <c r="D495" s="341" t="s">
        <v>166</v>
      </c>
      <c r="E495" s="341" t="s">
        <v>904</v>
      </c>
      <c r="F495" s="341"/>
      <c r="G495" s="339">
        <f>G496+G507</f>
        <v>11488.4</v>
      </c>
      <c r="H495" s="339">
        <f>H496+H507</f>
        <v>6028.2</v>
      </c>
      <c r="I495" s="339">
        <f t="shared" si="35"/>
        <v>52.472058772326868</v>
      </c>
    </row>
    <row r="496" spans="1:10" ht="15.75" x14ac:dyDescent="0.25">
      <c r="A496" s="340" t="s">
        <v>991</v>
      </c>
      <c r="B496" s="337">
        <v>905</v>
      </c>
      <c r="C496" s="341" t="s">
        <v>134</v>
      </c>
      <c r="D496" s="341" t="s">
        <v>166</v>
      </c>
      <c r="E496" s="341" t="s">
        <v>905</v>
      </c>
      <c r="F496" s="341"/>
      <c r="G496" s="339">
        <f>G497+G504</f>
        <v>11466.4</v>
      </c>
      <c r="H496" s="339">
        <f>H497+H504</f>
        <v>6028.2</v>
      </c>
      <c r="I496" s="339">
        <f t="shared" si="35"/>
        <v>52.572734249633712</v>
      </c>
    </row>
    <row r="497" spans="1:10" ht="31.5" x14ac:dyDescent="0.25">
      <c r="A497" s="342" t="s">
        <v>967</v>
      </c>
      <c r="B497" s="336">
        <v>905</v>
      </c>
      <c r="C497" s="338" t="s">
        <v>134</v>
      </c>
      <c r="D497" s="338" t="s">
        <v>166</v>
      </c>
      <c r="E497" s="338" t="s">
        <v>906</v>
      </c>
      <c r="F497" s="338"/>
      <c r="G497" s="343">
        <f>G498+G500+G502</f>
        <v>11130.4</v>
      </c>
      <c r="H497" s="343">
        <f>H498+H500+H502</f>
        <v>5860.2</v>
      </c>
      <c r="I497" s="343">
        <f t="shared" si="35"/>
        <v>52.650398907496587</v>
      </c>
    </row>
    <row r="498" spans="1:10" ht="63" x14ac:dyDescent="0.25">
      <c r="A498" s="342" t="s">
        <v>143</v>
      </c>
      <c r="B498" s="336">
        <v>905</v>
      </c>
      <c r="C498" s="338" t="s">
        <v>134</v>
      </c>
      <c r="D498" s="338" t="s">
        <v>166</v>
      </c>
      <c r="E498" s="338" t="s">
        <v>906</v>
      </c>
      <c r="F498" s="338" t="s">
        <v>144</v>
      </c>
      <c r="G498" s="343">
        <f>G499</f>
        <v>10559.4</v>
      </c>
      <c r="H498" s="343">
        <f>H499</f>
        <v>5598.2</v>
      </c>
      <c r="I498" s="343">
        <f t="shared" si="35"/>
        <v>53.016269863818025</v>
      </c>
    </row>
    <row r="499" spans="1:10" ht="31.5" x14ac:dyDescent="0.25">
      <c r="A499" s="342" t="s">
        <v>145</v>
      </c>
      <c r="B499" s="336">
        <v>905</v>
      </c>
      <c r="C499" s="338" t="s">
        <v>134</v>
      </c>
      <c r="D499" s="338" t="s">
        <v>166</v>
      </c>
      <c r="E499" s="338" t="s">
        <v>906</v>
      </c>
      <c r="F499" s="338" t="s">
        <v>146</v>
      </c>
      <c r="G499" s="344">
        <f>10033+510+16.4</f>
        <v>10559.4</v>
      </c>
      <c r="H499" s="344">
        <v>5598.2</v>
      </c>
      <c r="I499" s="343">
        <f t="shared" si="35"/>
        <v>53.016269863818025</v>
      </c>
    </row>
    <row r="500" spans="1:10" ht="31.5" x14ac:dyDescent="0.25">
      <c r="A500" s="342" t="s">
        <v>147</v>
      </c>
      <c r="B500" s="336">
        <v>905</v>
      </c>
      <c r="C500" s="338" t="s">
        <v>134</v>
      </c>
      <c r="D500" s="338" t="s">
        <v>166</v>
      </c>
      <c r="E500" s="338" t="s">
        <v>906</v>
      </c>
      <c r="F500" s="338" t="s">
        <v>148</v>
      </c>
      <c r="G500" s="343">
        <f>G501</f>
        <v>440</v>
      </c>
      <c r="H500" s="343">
        <f>H501</f>
        <v>191.3</v>
      </c>
      <c r="I500" s="343">
        <f t="shared" si="35"/>
        <v>43.477272727272734</v>
      </c>
    </row>
    <row r="501" spans="1:10" ht="31.5" x14ac:dyDescent="0.25">
      <c r="A501" s="342" t="s">
        <v>149</v>
      </c>
      <c r="B501" s="336">
        <v>905</v>
      </c>
      <c r="C501" s="338" t="s">
        <v>134</v>
      </c>
      <c r="D501" s="338" t="s">
        <v>166</v>
      </c>
      <c r="E501" s="338" t="s">
        <v>906</v>
      </c>
      <c r="F501" s="338" t="s">
        <v>150</v>
      </c>
      <c r="G501" s="344">
        <v>440</v>
      </c>
      <c r="H501" s="344">
        <v>191.3</v>
      </c>
      <c r="I501" s="343">
        <f t="shared" si="35"/>
        <v>43.477272727272734</v>
      </c>
    </row>
    <row r="502" spans="1:10" ht="15.75" x14ac:dyDescent="0.25">
      <c r="A502" s="342" t="s">
        <v>151</v>
      </c>
      <c r="B502" s="336">
        <v>905</v>
      </c>
      <c r="C502" s="338" t="s">
        <v>134</v>
      </c>
      <c r="D502" s="338" t="s">
        <v>166</v>
      </c>
      <c r="E502" s="338" t="s">
        <v>906</v>
      </c>
      <c r="F502" s="338" t="s">
        <v>161</v>
      </c>
      <c r="G502" s="343">
        <f>G503</f>
        <v>131</v>
      </c>
      <c r="H502" s="343">
        <f>H503</f>
        <v>70.7</v>
      </c>
      <c r="I502" s="343">
        <f t="shared" si="35"/>
        <v>53.969465648854964</v>
      </c>
    </row>
    <row r="503" spans="1:10" ht="15.75" x14ac:dyDescent="0.25">
      <c r="A503" s="342" t="s">
        <v>584</v>
      </c>
      <c r="B503" s="336">
        <v>905</v>
      </c>
      <c r="C503" s="338" t="s">
        <v>134</v>
      </c>
      <c r="D503" s="338" t="s">
        <v>166</v>
      </c>
      <c r="E503" s="338" t="s">
        <v>906</v>
      </c>
      <c r="F503" s="338" t="s">
        <v>154</v>
      </c>
      <c r="G503" s="343">
        <f>8.8+7.5+20+30+65-0.3</f>
        <v>131</v>
      </c>
      <c r="H503" s="343">
        <v>70.7</v>
      </c>
      <c r="I503" s="343">
        <f t="shared" si="35"/>
        <v>53.969465648854964</v>
      </c>
    </row>
    <row r="504" spans="1:10" s="218" customFormat="1" ht="31.5" x14ac:dyDescent="0.25">
      <c r="A504" s="342" t="s">
        <v>885</v>
      </c>
      <c r="B504" s="336">
        <v>905</v>
      </c>
      <c r="C504" s="338" t="s">
        <v>134</v>
      </c>
      <c r="D504" s="338" t="s">
        <v>166</v>
      </c>
      <c r="E504" s="338" t="s">
        <v>908</v>
      </c>
      <c r="F504" s="338"/>
      <c r="G504" s="343">
        <f>G505</f>
        <v>336</v>
      </c>
      <c r="H504" s="343">
        <f>H505</f>
        <v>168</v>
      </c>
      <c r="I504" s="343">
        <f t="shared" si="35"/>
        <v>50</v>
      </c>
      <c r="J504" s="332"/>
    </row>
    <row r="505" spans="1:10" s="218" customFormat="1" ht="63" x14ac:dyDescent="0.25">
      <c r="A505" s="342" t="s">
        <v>143</v>
      </c>
      <c r="B505" s="336">
        <v>905</v>
      </c>
      <c r="C505" s="338" t="s">
        <v>134</v>
      </c>
      <c r="D505" s="338" t="s">
        <v>166</v>
      </c>
      <c r="E505" s="338" t="s">
        <v>908</v>
      </c>
      <c r="F505" s="338" t="s">
        <v>144</v>
      </c>
      <c r="G505" s="343">
        <f>G506</f>
        <v>336</v>
      </c>
      <c r="H505" s="343">
        <f>H506</f>
        <v>168</v>
      </c>
      <c r="I505" s="343">
        <f t="shared" si="35"/>
        <v>50</v>
      </c>
      <c r="J505" s="332"/>
    </row>
    <row r="506" spans="1:10" s="218" customFormat="1" ht="31.5" x14ac:dyDescent="0.25">
      <c r="A506" s="342" t="s">
        <v>145</v>
      </c>
      <c r="B506" s="336">
        <v>905</v>
      </c>
      <c r="C506" s="338" t="s">
        <v>134</v>
      </c>
      <c r="D506" s="338" t="s">
        <v>166</v>
      </c>
      <c r="E506" s="338" t="s">
        <v>908</v>
      </c>
      <c r="F506" s="338" t="s">
        <v>146</v>
      </c>
      <c r="G506" s="343">
        <v>336</v>
      </c>
      <c r="H506" s="343">
        <v>168</v>
      </c>
      <c r="I506" s="343">
        <f t="shared" si="35"/>
        <v>50</v>
      </c>
      <c r="J506" s="332"/>
    </row>
    <row r="507" spans="1:10" s="218" customFormat="1" ht="31.5" x14ac:dyDescent="0.25">
      <c r="A507" s="340" t="s">
        <v>932</v>
      </c>
      <c r="B507" s="337">
        <v>905</v>
      </c>
      <c r="C507" s="341" t="s">
        <v>134</v>
      </c>
      <c r="D507" s="341" t="s">
        <v>166</v>
      </c>
      <c r="E507" s="341" t="s">
        <v>909</v>
      </c>
      <c r="F507" s="341"/>
      <c r="G507" s="339">
        <f t="shared" ref="G507:H509" si="38">G508</f>
        <v>22</v>
      </c>
      <c r="H507" s="339">
        <f t="shared" si="38"/>
        <v>0</v>
      </c>
      <c r="I507" s="343">
        <f t="shared" si="35"/>
        <v>0</v>
      </c>
      <c r="J507" s="332"/>
    </row>
    <row r="508" spans="1:10" s="218" customFormat="1" ht="78.75" x14ac:dyDescent="0.25">
      <c r="A508" s="31" t="s">
        <v>1409</v>
      </c>
      <c r="B508" s="336">
        <v>905</v>
      </c>
      <c r="C508" s="338" t="s">
        <v>134</v>
      </c>
      <c r="D508" s="338" t="s">
        <v>166</v>
      </c>
      <c r="E508" s="338" t="s">
        <v>1408</v>
      </c>
      <c r="F508" s="338"/>
      <c r="G508" s="343">
        <f t="shared" si="38"/>
        <v>22</v>
      </c>
      <c r="H508" s="343">
        <f t="shared" si="38"/>
        <v>0</v>
      </c>
      <c r="I508" s="343">
        <f t="shared" si="35"/>
        <v>0</v>
      </c>
      <c r="J508" s="332"/>
    </row>
    <row r="509" spans="1:10" s="218" customFormat="1" ht="63" x14ac:dyDescent="0.25">
      <c r="A509" s="342" t="s">
        <v>143</v>
      </c>
      <c r="B509" s="336">
        <v>905</v>
      </c>
      <c r="C509" s="338" t="s">
        <v>134</v>
      </c>
      <c r="D509" s="338" t="s">
        <v>166</v>
      </c>
      <c r="E509" s="338" t="s">
        <v>1408</v>
      </c>
      <c r="F509" s="338" t="s">
        <v>144</v>
      </c>
      <c r="G509" s="343">
        <f t="shared" si="38"/>
        <v>22</v>
      </c>
      <c r="H509" s="343">
        <f t="shared" si="38"/>
        <v>0</v>
      </c>
      <c r="I509" s="343">
        <f t="shared" si="35"/>
        <v>0</v>
      </c>
      <c r="J509" s="332"/>
    </row>
    <row r="510" spans="1:10" s="218" customFormat="1" ht="31.5" x14ac:dyDescent="0.25">
      <c r="A510" s="342" t="s">
        <v>145</v>
      </c>
      <c r="B510" s="336">
        <v>905</v>
      </c>
      <c r="C510" s="338" t="s">
        <v>134</v>
      </c>
      <c r="D510" s="338" t="s">
        <v>166</v>
      </c>
      <c r="E510" s="338" t="s">
        <v>1408</v>
      </c>
      <c r="F510" s="338" t="s">
        <v>146</v>
      </c>
      <c r="G510" s="343">
        <v>22</v>
      </c>
      <c r="H510" s="343">
        <v>0</v>
      </c>
      <c r="I510" s="343">
        <f t="shared" si="35"/>
        <v>0</v>
      </c>
      <c r="J510" s="332"/>
    </row>
    <row r="511" spans="1:10" ht="15.75" x14ac:dyDescent="0.25">
      <c r="A511" s="340" t="s">
        <v>155</v>
      </c>
      <c r="B511" s="337">
        <v>905</v>
      </c>
      <c r="C511" s="341" t="s">
        <v>134</v>
      </c>
      <c r="D511" s="341" t="s">
        <v>156</v>
      </c>
      <c r="E511" s="341"/>
      <c r="F511" s="341"/>
      <c r="G511" s="339">
        <f>G512+G520</f>
        <v>5739.119999999999</v>
      </c>
      <c r="H511" s="339">
        <f>H512+H520</f>
        <v>2715</v>
      </c>
      <c r="I511" s="343">
        <f t="shared" si="35"/>
        <v>47.30690419437127</v>
      </c>
    </row>
    <row r="512" spans="1:10" s="218" customFormat="1" ht="15.75" x14ac:dyDescent="0.25">
      <c r="A512" s="340" t="s">
        <v>157</v>
      </c>
      <c r="B512" s="337">
        <v>905</v>
      </c>
      <c r="C512" s="341" t="s">
        <v>134</v>
      </c>
      <c r="D512" s="341" t="s">
        <v>156</v>
      </c>
      <c r="E512" s="341" t="s">
        <v>912</v>
      </c>
      <c r="F512" s="341"/>
      <c r="G512" s="339">
        <f>G513</f>
        <v>5499.2999999999993</v>
      </c>
      <c r="H512" s="339">
        <f>H513</f>
        <v>2715</v>
      </c>
      <c r="I512" s="343">
        <f t="shared" si="35"/>
        <v>49.369919807975563</v>
      </c>
      <c r="J512" s="332"/>
    </row>
    <row r="513" spans="1:10" s="218" customFormat="1" ht="31.5" x14ac:dyDescent="0.25">
      <c r="A513" s="340" t="s">
        <v>916</v>
      </c>
      <c r="B513" s="337">
        <v>905</v>
      </c>
      <c r="C513" s="341" t="s">
        <v>134</v>
      </c>
      <c r="D513" s="341" t="s">
        <v>156</v>
      </c>
      <c r="E513" s="341" t="s">
        <v>911</v>
      </c>
      <c r="F513" s="341"/>
      <c r="G513" s="339">
        <f>G514+G517</f>
        <v>5499.2999999999993</v>
      </c>
      <c r="H513" s="339">
        <f>H514+H517</f>
        <v>2715</v>
      </c>
      <c r="I513" s="343">
        <f t="shared" si="35"/>
        <v>49.369919807975563</v>
      </c>
      <c r="J513" s="332"/>
    </row>
    <row r="514" spans="1:10" s="218" customFormat="1" ht="47.25" x14ac:dyDescent="0.25">
      <c r="A514" s="342" t="s">
        <v>404</v>
      </c>
      <c r="B514" s="336">
        <v>905</v>
      </c>
      <c r="C514" s="338" t="s">
        <v>134</v>
      </c>
      <c r="D514" s="338" t="s">
        <v>156</v>
      </c>
      <c r="E514" s="338" t="s">
        <v>1169</v>
      </c>
      <c r="F514" s="338"/>
      <c r="G514" s="343">
        <f>G515</f>
        <v>5499.2999999999993</v>
      </c>
      <c r="H514" s="343">
        <f>H515</f>
        <v>2715</v>
      </c>
      <c r="I514" s="343">
        <f t="shared" si="35"/>
        <v>49.369919807975563</v>
      </c>
      <c r="J514" s="332"/>
    </row>
    <row r="515" spans="1:10" s="218" customFormat="1" ht="31.5" x14ac:dyDescent="0.25">
      <c r="A515" s="342" t="s">
        <v>147</v>
      </c>
      <c r="B515" s="336">
        <v>905</v>
      </c>
      <c r="C515" s="338" t="s">
        <v>134</v>
      </c>
      <c r="D515" s="338" t="s">
        <v>156</v>
      </c>
      <c r="E515" s="338" t="s">
        <v>1169</v>
      </c>
      <c r="F515" s="338" t="s">
        <v>148</v>
      </c>
      <c r="G515" s="343">
        <f>G516</f>
        <v>5499.2999999999993</v>
      </c>
      <c r="H515" s="343">
        <f>H516</f>
        <v>2715</v>
      </c>
      <c r="I515" s="343">
        <f t="shared" si="35"/>
        <v>49.369919807975563</v>
      </c>
      <c r="J515" s="332"/>
    </row>
    <row r="516" spans="1:10" s="218" customFormat="1" ht="31.5" x14ac:dyDescent="0.25">
      <c r="A516" s="342" t="s">
        <v>149</v>
      </c>
      <c r="B516" s="336">
        <v>905</v>
      </c>
      <c r="C516" s="338" t="s">
        <v>134</v>
      </c>
      <c r="D516" s="338" t="s">
        <v>156</v>
      </c>
      <c r="E516" s="338" t="s">
        <v>1169</v>
      </c>
      <c r="F516" s="338" t="s">
        <v>150</v>
      </c>
      <c r="G516" s="343">
        <f>2900+140+953.1+1064.3+441.9</f>
        <v>5499.2999999999993</v>
      </c>
      <c r="H516" s="343">
        <v>2715</v>
      </c>
      <c r="I516" s="343">
        <f t="shared" si="35"/>
        <v>49.369919807975563</v>
      </c>
      <c r="J516" s="332"/>
    </row>
    <row r="517" spans="1:10" s="218" customFormat="1" ht="31.5" hidden="1" x14ac:dyDescent="0.25">
      <c r="A517" s="342" t="s">
        <v>1004</v>
      </c>
      <c r="B517" s="336">
        <v>905</v>
      </c>
      <c r="C517" s="338" t="s">
        <v>134</v>
      </c>
      <c r="D517" s="338" t="s">
        <v>156</v>
      </c>
      <c r="E517" s="338" t="s">
        <v>1170</v>
      </c>
      <c r="F517" s="338"/>
      <c r="G517" s="343">
        <f>G518</f>
        <v>0</v>
      </c>
      <c r="H517" s="343">
        <f>H518</f>
        <v>0</v>
      </c>
      <c r="I517" s="343" t="e">
        <f t="shared" si="35"/>
        <v>#DIV/0!</v>
      </c>
      <c r="J517" s="332"/>
    </row>
    <row r="518" spans="1:10" s="218" customFormat="1" ht="31.5" hidden="1" x14ac:dyDescent="0.25">
      <c r="A518" s="342" t="s">
        <v>147</v>
      </c>
      <c r="B518" s="336">
        <v>905</v>
      </c>
      <c r="C518" s="338" t="s">
        <v>134</v>
      </c>
      <c r="D518" s="338" t="s">
        <v>156</v>
      </c>
      <c r="E518" s="338" t="s">
        <v>1170</v>
      </c>
      <c r="F518" s="338" t="s">
        <v>148</v>
      </c>
      <c r="G518" s="343">
        <f>G519</f>
        <v>0</v>
      </c>
      <c r="H518" s="343">
        <f>H519</f>
        <v>0</v>
      </c>
      <c r="I518" s="343" t="e">
        <f t="shared" si="35"/>
        <v>#DIV/0!</v>
      </c>
      <c r="J518" s="332"/>
    </row>
    <row r="519" spans="1:10" s="218" customFormat="1" ht="31.5" hidden="1" x14ac:dyDescent="0.25">
      <c r="A519" s="342" t="s">
        <v>149</v>
      </c>
      <c r="B519" s="336">
        <v>905</v>
      </c>
      <c r="C519" s="338" t="s">
        <v>134</v>
      </c>
      <c r="D519" s="338" t="s">
        <v>156</v>
      </c>
      <c r="E519" s="338" t="s">
        <v>1170</v>
      </c>
      <c r="F519" s="338" t="s">
        <v>150</v>
      </c>
      <c r="G519" s="343">
        <f>100-100</f>
        <v>0</v>
      </c>
      <c r="H519" s="343">
        <f>100-100</f>
        <v>0</v>
      </c>
      <c r="I519" s="343" t="e">
        <f t="shared" si="35"/>
        <v>#DIV/0!</v>
      </c>
      <c r="J519" s="332"/>
    </row>
    <row r="520" spans="1:10" s="112" customFormat="1" ht="69" customHeight="1" x14ac:dyDescent="0.25">
      <c r="A520" s="340" t="s">
        <v>1181</v>
      </c>
      <c r="B520" s="337">
        <v>905</v>
      </c>
      <c r="C520" s="341" t="s">
        <v>134</v>
      </c>
      <c r="D520" s="341" t="s">
        <v>156</v>
      </c>
      <c r="E520" s="341" t="s">
        <v>806</v>
      </c>
      <c r="F520" s="341"/>
      <c r="G520" s="339">
        <f t="shared" ref="G520:H523" si="39">G521</f>
        <v>239.82</v>
      </c>
      <c r="H520" s="339">
        <f t="shared" si="39"/>
        <v>0</v>
      </c>
      <c r="I520" s="343">
        <f t="shared" si="35"/>
        <v>0</v>
      </c>
      <c r="J520" s="220"/>
    </row>
    <row r="521" spans="1:10" s="220" customFormat="1" ht="29.25" customHeight="1" x14ac:dyDescent="0.25">
      <c r="A521" s="340" t="s">
        <v>1003</v>
      </c>
      <c r="B521" s="337">
        <v>905</v>
      </c>
      <c r="C521" s="341" t="s">
        <v>134</v>
      </c>
      <c r="D521" s="341" t="s">
        <v>156</v>
      </c>
      <c r="E521" s="341" t="s">
        <v>1182</v>
      </c>
      <c r="F521" s="341"/>
      <c r="G521" s="339">
        <f t="shared" si="39"/>
        <v>239.82</v>
      </c>
      <c r="H521" s="339">
        <f t="shared" si="39"/>
        <v>0</v>
      </c>
      <c r="I521" s="343">
        <f t="shared" si="35"/>
        <v>0</v>
      </c>
    </row>
    <row r="522" spans="1:10" s="112" customFormat="1" ht="31.7" customHeight="1" x14ac:dyDescent="0.25">
      <c r="A522" s="342" t="s">
        <v>816</v>
      </c>
      <c r="B522" s="336">
        <v>905</v>
      </c>
      <c r="C522" s="338" t="s">
        <v>134</v>
      </c>
      <c r="D522" s="338" t="s">
        <v>156</v>
      </c>
      <c r="E522" s="338" t="s">
        <v>1183</v>
      </c>
      <c r="F522" s="338"/>
      <c r="G522" s="343">
        <f t="shared" si="39"/>
        <v>239.82</v>
      </c>
      <c r="H522" s="343">
        <f t="shared" si="39"/>
        <v>0</v>
      </c>
      <c r="I522" s="343">
        <f t="shared" si="35"/>
        <v>0</v>
      </c>
      <c r="J522" s="220"/>
    </row>
    <row r="523" spans="1:10" s="112" customFormat="1" ht="31.5" x14ac:dyDescent="0.25">
      <c r="A523" s="342" t="s">
        <v>147</v>
      </c>
      <c r="B523" s="336">
        <v>905</v>
      </c>
      <c r="C523" s="338" t="s">
        <v>134</v>
      </c>
      <c r="D523" s="338" t="s">
        <v>156</v>
      </c>
      <c r="E523" s="338" t="s">
        <v>1183</v>
      </c>
      <c r="F523" s="338" t="s">
        <v>148</v>
      </c>
      <c r="G523" s="343">
        <f t="shared" si="39"/>
        <v>239.82</v>
      </c>
      <c r="H523" s="343">
        <f t="shared" si="39"/>
        <v>0</v>
      </c>
      <c r="I523" s="343">
        <f t="shared" ref="I523:I586" si="40">H523/G523*100</f>
        <v>0</v>
      </c>
      <c r="J523" s="220"/>
    </row>
    <row r="524" spans="1:10" s="112" customFormat="1" ht="31.5" x14ac:dyDescent="0.25">
      <c r="A524" s="342" t="s">
        <v>149</v>
      </c>
      <c r="B524" s="336">
        <v>905</v>
      </c>
      <c r="C524" s="338" t="s">
        <v>134</v>
      </c>
      <c r="D524" s="338" t="s">
        <v>156</v>
      </c>
      <c r="E524" s="338" t="s">
        <v>1183</v>
      </c>
      <c r="F524" s="338" t="s">
        <v>150</v>
      </c>
      <c r="G524" s="343">
        <v>239.82</v>
      </c>
      <c r="H524" s="343">
        <v>0</v>
      </c>
      <c r="I524" s="343">
        <f t="shared" si="40"/>
        <v>0</v>
      </c>
      <c r="J524" s="220"/>
    </row>
    <row r="525" spans="1:10" ht="15.75" x14ac:dyDescent="0.25">
      <c r="A525" s="41" t="s">
        <v>406</v>
      </c>
      <c r="B525" s="337">
        <v>905</v>
      </c>
      <c r="C525" s="341" t="s">
        <v>250</v>
      </c>
      <c r="D525" s="341"/>
      <c r="E525" s="341"/>
      <c r="F525" s="341"/>
      <c r="G525" s="339">
        <f t="shared" ref="G525:H527" si="41">G526</f>
        <v>1041</v>
      </c>
      <c r="H525" s="339">
        <f t="shared" si="41"/>
        <v>456</v>
      </c>
      <c r="I525" s="339">
        <f t="shared" si="40"/>
        <v>43.804034582132566</v>
      </c>
    </row>
    <row r="526" spans="1:10" ht="15.75" x14ac:dyDescent="0.25">
      <c r="A526" s="41" t="s">
        <v>407</v>
      </c>
      <c r="B526" s="337">
        <v>905</v>
      </c>
      <c r="C526" s="341" t="s">
        <v>250</v>
      </c>
      <c r="D526" s="341" t="s">
        <v>134</v>
      </c>
      <c r="E526" s="341"/>
      <c r="F526" s="341"/>
      <c r="G526" s="339">
        <f t="shared" si="41"/>
        <v>1041</v>
      </c>
      <c r="H526" s="339">
        <f t="shared" si="41"/>
        <v>456</v>
      </c>
      <c r="I526" s="339">
        <f t="shared" si="40"/>
        <v>43.804034582132566</v>
      </c>
    </row>
    <row r="527" spans="1:10" s="218" customFormat="1" ht="15.75" x14ac:dyDescent="0.25">
      <c r="A527" s="340" t="s">
        <v>157</v>
      </c>
      <c r="B527" s="337">
        <v>905</v>
      </c>
      <c r="C527" s="341" t="s">
        <v>250</v>
      </c>
      <c r="D527" s="341" t="s">
        <v>134</v>
      </c>
      <c r="E527" s="341" t="s">
        <v>912</v>
      </c>
      <c r="F527" s="341"/>
      <c r="G527" s="339">
        <f t="shared" si="41"/>
        <v>1041</v>
      </c>
      <c r="H527" s="339">
        <f t="shared" si="41"/>
        <v>456</v>
      </c>
      <c r="I527" s="339">
        <f t="shared" si="40"/>
        <v>43.804034582132566</v>
      </c>
      <c r="J527" s="332"/>
    </row>
    <row r="528" spans="1:10" s="218" customFormat="1" ht="31.5" x14ac:dyDescent="0.25">
      <c r="A528" s="340" t="s">
        <v>916</v>
      </c>
      <c r="B528" s="337">
        <v>905</v>
      </c>
      <c r="C528" s="341" t="s">
        <v>250</v>
      </c>
      <c r="D528" s="341" t="s">
        <v>134</v>
      </c>
      <c r="E528" s="341" t="s">
        <v>911</v>
      </c>
      <c r="F528" s="341"/>
      <c r="G528" s="339">
        <f>G529+G532</f>
        <v>1041</v>
      </c>
      <c r="H528" s="339">
        <f>H529+H532</f>
        <v>456</v>
      </c>
      <c r="I528" s="339">
        <f t="shared" si="40"/>
        <v>43.804034582132566</v>
      </c>
      <c r="J528" s="332"/>
    </row>
    <row r="529" spans="1:10" ht="31.5" x14ac:dyDescent="0.25">
      <c r="A529" s="345" t="s">
        <v>414</v>
      </c>
      <c r="B529" s="336">
        <v>905</v>
      </c>
      <c r="C529" s="338" t="s">
        <v>250</v>
      </c>
      <c r="D529" s="338" t="s">
        <v>134</v>
      </c>
      <c r="E529" s="338" t="s">
        <v>1097</v>
      </c>
      <c r="F529" s="338"/>
      <c r="G529" s="343">
        <f>G530</f>
        <v>270.39999999999998</v>
      </c>
      <c r="H529" s="343">
        <f>H530</f>
        <v>0</v>
      </c>
      <c r="I529" s="343">
        <f t="shared" si="40"/>
        <v>0</v>
      </c>
    </row>
    <row r="530" spans="1:10" ht="31.5" x14ac:dyDescent="0.25">
      <c r="A530" s="342" t="s">
        <v>147</v>
      </c>
      <c r="B530" s="336">
        <v>905</v>
      </c>
      <c r="C530" s="338" t="s">
        <v>250</v>
      </c>
      <c r="D530" s="338" t="s">
        <v>134</v>
      </c>
      <c r="E530" s="338" t="s">
        <v>1097</v>
      </c>
      <c r="F530" s="338" t="s">
        <v>148</v>
      </c>
      <c r="G530" s="343">
        <f>G531</f>
        <v>270.39999999999998</v>
      </c>
      <c r="H530" s="343">
        <f>H531</f>
        <v>0</v>
      </c>
      <c r="I530" s="343">
        <f t="shared" si="40"/>
        <v>0</v>
      </c>
    </row>
    <row r="531" spans="1:10" ht="31.5" x14ac:dyDescent="0.25">
      <c r="A531" s="342" t="s">
        <v>149</v>
      </c>
      <c r="B531" s="336">
        <v>905</v>
      </c>
      <c r="C531" s="338" t="s">
        <v>250</v>
      </c>
      <c r="D531" s="338" t="s">
        <v>134</v>
      </c>
      <c r="E531" s="338" t="s">
        <v>1097</v>
      </c>
      <c r="F531" s="338" t="s">
        <v>150</v>
      </c>
      <c r="G531" s="343">
        <f>263.2+7+0.2</f>
        <v>270.39999999999998</v>
      </c>
      <c r="H531" s="343">
        <v>0</v>
      </c>
      <c r="I531" s="343">
        <f t="shared" si="40"/>
        <v>0</v>
      </c>
    </row>
    <row r="532" spans="1:10" ht="31.5" x14ac:dyDescent="0.25">
      <c r="A532" s="345" t="s">
        <v>1005</v>
      </c>
      <c r="B532" s="336">
        <v>905</v>
      </c>
      <c r="C532" s="338" t="s">
        <v>250</v>
      </c>
      <c r="D532" s="338" t="s">
        <v>134</v>
      </c>
      <c r="E532" s="338" t="s">
        <v>1098</v>
      </c>
      <c r="F532" s="338"/>
      <c r="G532" s="343">
        <f>G533</f>
        <v>770.6</v>
      </c>
      <c r="H532" s="343">
        <f>H533</f>
        <v>456</v>
      </c>
      <c r="I532" s="343">
        <f t="shared" si="40"/>
        <v>59.174669089021535</v>
      </c>
    </row>
    <row r="533" spans="1:10" ht="31.5" x14ac:dyDescent="0.25">
      <c r="A533" s="342" t="s">
        <v>147</v>
      </c>
      <c r="B533" s="336">
        <v>905</v>
      </c>
      <c r="C533" s="338" t="s">
        <v>250</v>
      </c>
      <c r="D533" s="338" t="s">
        <v>134</v>
      </c>
      <c r="E533" s="338" t="s">
        <v>1098</v>
      </c>
      <c r="F533" s="338" t="s">
        <v>148</v>
      </c>
      <c r="G533" s="343">
        <f>G534</f>
        <v>770.6</v>
      </c>
      <c r="H533" s="343">
        <f>H534</f>
        <v>456</v>
      </c>
      <c r="I533" s="343">
        <f t="shared" si="40"/>
        <v>59.174669089021535</v>
      </c>
    </row>
    <row r="534" spans="1:10" ht="31.5" x14ac:dyDescent="0.25">
      <c r="A534" s="342" t="s">
        <v>149</v>
      </c>
      <c r="B534" s="336">
        <v>905</v>
      </c>
      <c r="C534" s="338" t="s">
        <v>250</v>
      </c>
      <c r="D534" s="338" t="s">
        <v>134</v>
      </c>
      <c r="E534" s="338" t="s">
        <v>1098</v>
      </c>
      <c r="F534" s="338" t="s">
        <v>150</v>
      </c>
      <c r="G534" s="343">
        <f>910.6-140</f>
        <v>770.6</v>
      </c>
      <c r="H534" s="343">
        <v>456</v>
      </c>
      <c r="I534" s="343">
        <f t="shared" si="40"/>
        <v>59.174669089021535</v>
      </c>
    </row>
    <row r="535" spans="1:10" s="218" customFormat="1" ht="15.75" x14ac:dyDescent="0.25">
      <c r="A535" s="340" t="s">
        <v>259</v>
      </c>
      <c r="B535" s="337">
        <v>905</v>
      </c>
      <c r="C535" s="341" t="s">
        <v>260</v>
      </c>
      <c r="D535" s="338"/>
      <c r="E535" s="338"/>
      <c r="F535" s="338"/>
      <c r="G535" s="339">
        <f t="shared" ref="G535:H539" si="42">G536</f>
        <v>1431.2</v>
      </c>
      <c r="H535" s="339">
        <f t="shared" si="42"/>
        <v>0</v>
      </c>
      <c r="I535" s="339">
        <f t="shared" si="40"/>
        <v>0</v>
      </c>
      <c r="J535" s="332"/>
    </row>
    <row r="536" spans="1:10" s="218" customFormat="1" ht="15.75" x14ac:dyDescent="0.25">
      <c r="A536" s="340" t="s">
        <v>416</v>
      </c>
      <c r="B536" s="337">
        <v>905</v>
      </c>
      <c r="C536" s="341" t="s">
        <v>260</v>
      </c>
      <c r="D536" s="341" t="s">
        <v>166</v>
      </c>
      <c r="E536" s="338"/>
      <c r="F536" s="338"/>
      <c r="G536" s="339">
        <f t="shared" si="42"/>
        <v>1431.2</v>
      </c>
      <c r="H536" s="339">
        <f t="shared" si="42"/>
        <v>0</v>
      </c>
      <c r="I536" s="339">
        <f t="shared" si="40"/>
        <v>0</v>
      </c>
      <c r="J536" s="332"/>
    </row>
    <row r="537" spans="1:10" s="218" customFormat="1" ht="31.5" x14ac:dyDescent="0.25">
      <c r="A537" s="340" t="s">
        <v>932</v>
      </c>
      <c r="B537" s="337">
        <v>905</v>
      </c>
      <c r="C537" s="341" t="s">
        <v>260</v>
      </c>
      <c r="D537" s="341" t="s">
        <v>166</v>
      </c>
      <c r="E537" s="341" t="s">
        <v>909</v>
      </c>
      <c r="F537" s="338"/>
      <c r="G537" s="339">
        <f t="shared" si="42"/>
        <v>1431.2</v>
      </c>
      <c r="H537" s="339">
        <f t="shared" si="42"/>
        <v>0</v>
      </c>
      <c r="I537" s="339">
        <f t="shared" si="40"/>
        <v>0</v>
      </c>
      <c r="J537" s="332"/>
    </row>
    <row r="538" spans="1:10" s="218" customFormat="1" ht="47.25" x14ac:dyDescent="0.25">
      <c r="A538" s="342" t="s">
        <v>1411</v>
      </c>
      <c r="B538" s="336">
        <v>905</v>
      </c>
      <c r="C538" s="338" t="s">
        <v>260</v>
      </c>
      <c r="D538" s="338" t="s">
        <v>166</v>
      </c>
      <c r="E538" s="338" t="s">
        <v>1410</v>
      </c>
      <c r="F538" s="338"/>
      <c r="G538" s="343">
        <f t="shared" si="42"/>
        <v>1431.2</v>
      </c>
      <c r="H538" s="343">
        <f t="shared" si="42"/>
        <v>0</v>
      </c>
      <c r="I538" s="343">
        <f t="shared" si="40"/>
        <v>0</v>
      </c>
      <c r="J538" s="332"/>
    </row>
    <row r="539" spans="1:10" s="218" customFormat="1" ht="31.5" x14ac:dyDescent="0.25">
      <c r="A539" s="342" t="s">
        <v>147</v>
      </c>
      <c r="B539" s="336">
        <v>905</v>
      </c>
      <c r="C539" s="338" t="s">
        <v>260</v>
      </c>
      <c r="D539" s="338" t="s">
        <v>166</v>
      </c>
      <c r="E539" s="338" t="s">
        <v>1410</v>
      </c>
      <c r="F539" s="338" t="s">
        <v>148</v>
      </c>
      <c r="G539" s="343">
        <f t="shared" si="42"/>
        <v>1431.2</v>
      </c>
      <c r="H539" s="343">
        <f t="shared" si="42"/>
        <v>0</v>
      </c>
      <c r="I539" s="343">
        <f t="shared" si="40"/>
        <v>0</v>
      </c>
      <c r="J539" s="332"/>
    </row>
    <row r="540" spans="1:10" s="218" customFormat="1" ht="31.5" x14ac:dyDescent="0.25">
      <c r="A540" s="342" t="s">
        <v>149</v>
      </c>
      <c r="B540" s="336">
        <v>905</v>
      </c>
      <c r="C540" s="338" t="s">
        <v>260</v>
      </c>
      <c r="D540" s="338" t="s">
        <v>166</v>
      </c>
      <c r="E540" s="338" t="s">
        <v>1410</v>
      </c>
      <c r="F540" s="338" t="s">
        <v>150</v>
      </c>
      <c r="G540" s="343">
        <v>1431.2</v>
      </c>
      <c r="H540" s="343">
        <v>0</v>
      </c>
      <c r="I540" s="343">
        <f t="shared" si="40"/>
        <v>0</v>
      </c>
      <c r="J540" s="332"/>
    </row>
    <row r="541" spans="1:10" ht="31.5" x14ac:dyDescent="0.25">
      <c r="A541" s="337" t="s">
        <v>419</v>
      </c>
      <c r="B541" s="337">
        <v>906</v>
      </c>
      <c r="C541" s="341"/>
      <c r="D541" s="341"/>
      <c r="E541" s="341"/>
      <c r="F541" s="341"/>
      <c r="G541" s="339">
        <f>G552+G542</f>
        <v>364425.78899999999</v>
      </c>
      <c r="H541" s="339">
        <f>H552+H542</f>
        <v>173727.24000000002</v>
      </c>
      <c r="I541" s="339">
        <f t="shared" si="40"/>
        <v>47.671499999139748</v>
      </c>
    </row>
    <row r="542" spans="1:10" ht="15.75" x14ac:dyDescent="0.25">
      <c r="A542" s="340" t="s">
        <v>133</v>
      </c>
      <c r="B542" s="337">
        <v>906</v>
      </c>
      <c r="C542" s="341" t="s">
        <v>134</v>
      </c>
      <c r="D542" s="341"/>
      <c r="E542" s="341"/>
      <c r="F542" s="341"/>
      <c r="G542" s="339">
        <f t="shared" ref="G542:H547" si="43">G543</f>
        <v>50</v>
      </c>
      <c r="H542" s="339">
        <f t="shared" si="43"/>
        <v>0</v>
      </c>
      <c r="I542" s="339">
        <f t="shared" si="40"/>
        <v>0</v>
      </c>
    </row>
    <row r="543" spans="1:10" ht="15.75" x14ac:dyDescent="0.25">
      <c r="A543" s="34" t="s">
        <v>155</v>
      </c>
      <c r="B543" s="337">
        <v>906</v>
      </c>
      <c r="C543" s="341" t="s">
        <v>134</v>
      </c>
      <c r="D543" s="341" t="s">
        <v>156</v>
      </c>
      <c r="E543" s="341"/>
      <c r="F543" s="341"/>
      <c r="G543" s="339">
        <f t="shared" si="43"/>
        <v>50</v>
      </c>
      <c r="H543" s="339">
        <f t="shared" si="43"/>
        <v>0</v>
      </c>
      <c r="I543" s="339">
        <f t="shared" si="40"/>
        <v>0</v>
      </c>
    </row>
    <row r="544" spans="1:10" ht="47.25" x14ac:dyDescent="0.25">
      <c r="A544" s="340" t="s">
        <v>350</v>
      </c>
      <c r="B544" s="337">
        <v>906</v>
      </c>
      <c r="C544" s="341" t="s">
        <v>134</v>
      </c>
      <c r="D544" s="341" t="s">
        <v>156</v>
      </c>
      <c r="E544" s="341" t="s">
        <v>351</v>
      </c>
      <c r="F544" s="341"/>
      <c r="G544" s="339">
        <f t="shared" si="43"/>
        <v>50</v>
      </c>
      <c r="H544" s="339">
        <f t="shared" si="43"/>
        <v>0</v>
      </c>
      <c r="I544" s="339">
        <f t="shared" si="40"/>
        <v>0</v>
      </c>
    </row>
    <row r="545" spans="1:10" s="218" customFormat="1" ht="31.5" x14ac:dyDescent="0.25">
      <c r="A545" s="225" t="s">
        <v>1225</v>
      </c>
      <c r="B545" s="337">
        <v>906</v>
      </c>
      <c r="C545" s="341" t="s">
        <v>134</v>
      </c>
      <c r="D545" s="341" t="s">
        <v>156</v>
      </c>
      <c r="E545" s="341" t="s">
        <v>1226</v>
      </c>
      <c r="F545" s="341"/>
      <c r="G545" s="339">
        <f t="shared" si="43"/>
        <v>50</v>
      </c>
      <c r="H545" s="339">
        <f t="shared" si="43"/>
        <v>0</v>
      </c>
      <c r="I545" s="339">
        <f t="shared" si="40"/>
        <v>0</v>
      </c>
      <c r="J545" s="332"/>
    </row>
    <row r="546" spans="1:10" ht="31.5" x14ac:dyDescent="0.25">
      <c r="A546" s="98" t="s">
        <v>352</v>
      </c>
      <c r="B546" s="336">
        <v>906</v>
      </c>
      <c r="C546" s="338" t="s">
        <v>134</v>
      </c>
      <c r="D546" s="338" t="s">
        <v>156</v>
      </c>
      <c r="E546" s="338" t="s">
        <v>1227</v>
      </c>
      <c r="F546" s="338"/>
      <c r="G546" s="343">
        <f t="shared" si="43"/>
        <v>50</v>
      </c>
      <c r="H546" s="343">
        <f t="shared" si="43"/>
        <v>0</v>
      </c>
      <c r="I546" s="343">
        <f t="shared" si="40"/>
        <v>0</v>
      </c>
    </row>
    <row r="547" spans="1:10" ht="31.5" x14ac:dyDescent="0.25">
      <c r="A547" s="342" t="s">
        <v>147</v>
      </c>
      <c r="B547" s="336">
        <v>906</v>
      </c>
      <c r="C547" s="338" t="s">
        <v>134</v>
      </c>
      <c r="D547" s="338" t="s">
        <v>156</v>
      </c>
      <c r="E547" s="338" t="s">
        <v>1227</v>
      </c>
      <c r="F547" s="338" t="s">
        <v>148</v>
      </c>
      <c r="G547" s="343">
        <f t="shared" si="43"/>
        <v>50</v>
      </c>
      <c r="H547" s="343">
        <f t="shared" si="43"/>
        <v>0</v>
      </c>
      <c r="I547" s="343">
        <f t="shared" si="40"/>
        <v>0</v>
      </c>
    </row>
    <row r="548" spans="1:10" ht="31.5" x14ac:dyDescent="0.25">
      <c r="A548" s="342" t="s">
        <v>149</v>
      </c>
      <c r="B548" s="336">
        <v>906</v>
      </c>
      <c r="C548" s="338" t="s">
        <v>134</v>
      </c>
      <c r="D548" s="338" t="s">
        <v>156</v>
      </c>
      <c r="E548" s="338" t="s">
        <v>1227</v>
      </c>
      <c r="F548" s="338" t="s">
        <v>150</v>
      </c>
      <c r="G548" s="343">
        <v>50</v>
      </c>
      <c r="H548" s="343">
        <v>0</v>
      </c>
      <c r="I548" s="343">
        <f t="shared" si="40"/>
        <v>0</v>
      </c>
    </row>
    <row r="549" spans="1:10" ht="15.75" hidden="1" x14ac:dyDescent="0.25">
      <c r="A549" s="31" t="s">
        <v>796</v>
      </c>
      <c r="B549" s="336">
        <v>906</v>
      </c>
      <c r="C549" s="338" t="s">
        <v>134</v>
      </c>
      <c r="D549" s="338" t="s">
        <v>156</v>
      </c>
      <c r="E549" s="338" t="s">
        <v>1260</v>
      </c>
      <c r="F549" s="338"/>
      <c r="G549" s="343">
        <f>G550</f>
        <v>0</v>
      </c>
      <c r="H549" s="343">
        <f>H550</f>
        <v>0</v>
      </c>
      <c r="I549" s="343" t="e">
        <f t="shared" si="40"/>
        <v>#DIV/0!</v>
      </c>
    </row>
    <row r="550" spans="1:10" ht="31.5" hidden="1" x14ac:dyDescent="0.25">
      <c r="A550" s="342" t="s">
        <v>147</v>
      </c>
      <c r="B550" s="336">
        <v>906</v>
      </c>
      <c r="C550" s="338" t="s">
        <v>134</v>
      </c>
      <c r="D550" s="338" t="s">
        <v>156</v>
      </c>
      <c r="E550" s="338" t="s">
        <v>1260</v>
      </c>
      <c r="F550" s="338" t="s">
        <v>148</v>
      </c>
      <c r="G550" s="343">
        <f>G551</f>
        <v>0</v>
      </c>
      <c r="H550" s="343">
        <f>H551</f>
        <v>0</v>
      </c>
      <c r="I550" s="343" t="e">
        <f t="shared" si="40"/>
        <v>#DIV/0!</v>
      </c>
    </row>
    <row r="551" spans="1:10" ht="31.5" hidden="1" x14ac:dyDescent="0.25">
      <c r="A551" s="342" t="s">
        <v>149</v>
      </c>
      <c r="B551" s="336">
        <v>906</v>
      </c>
      <c r="C551" s="338" t="s">
        <v>134</v>
      </c>
      <c r="D551" s="338" t="s">
        <v>156</v>
      </c>
      <c r="E551" s="338" t="s">
        <v>1260</v>
      </c>
      <c r="F551" s="338" t="s">
        <v>150</v>
      </c>
      <c r="G551" s="343">
        <v>0</v>
      </c>
      <c r="H551" s="343">
        <v>0</v>
      </c>
      <c r="I551" s="343" t="e">
        <f t="shared" si="40"/>
        <v>#DIV/0!</v>
      </c>
    </row>
    <row r="552" spans="1:10" ht="15.75" x14ac:dyDescent="0.25">
      <c r="A552" s="340" t="s">
        <v>279</v>
      </c>
      <c r="B552" s="337">
        <v>906</v>
      </c>
      <c r="C552" s="341" t="s">
        <v>280</v>
      </c>
      <c r="D552" s="341"/>
      <c r="E552" s="341"/>
      <c r="F552" s="341"/>
      <c r="G552" s="339">
        <f>G553+G624+G752+G762+G718</f>
        <v>364375.78899999999</v>
      </c>
      <c r="H552" s="339">
        <f>H553+H624+H752+H762+H718</f>
        <v>173727.24000000002</v>
      </c>
      <c r="I552" s="339">
        <f t="shared" si="40"/>
        <v>47.678041528714196</v>
      </c>
    </row>
    <row r="553" spans="1:10" ht="15.75" x14ac:dyDescent="0.25">
      <c r="A553" s="340" t="s">
        <v>420</v>
      </c>
      <c r="B553" s="337">
        <v>906</v>
      </c>
      <c r="C553" s="341" t="s">
        <v>280</v>
      </c>
      <c r="D553" s="341" t="s">
        <v>134</v>
      </c>
      <c r="E553" s="341"/>
      <c r="F553" s="341"/>
      <c r="G553" s="339">
        <f>G554+G614+G619</f>
        <v>110390.8</v>
      </c>
      <c r="H553" s="339">
        <f>H554+H614+H619</f>
        <v>53495.360000000015</v>
      </c>
      <c r="I553" s="339">
        <f t="shared" si="40"/>
        <v>48.459980360682245</v>
      </c>
    </row>
    <row r="554" spans="1:10" ht="51.75" customHeight="1" x14ac:dyDescent="0.25">
      <c r="A554" s="340" t="s">
        <v>421</v>
      </c>
      <c r="B554" s="337">
        <v>906</v>
      </c>
      <c r="C554" s="341" t="s">
        <v>280</v>
      </c>
      <c r="D554" s="341" t="s">
        <v>134</v>
      </c>
      <c r="E554" s="341" t="s">
        <v>422</v>
      </c>
      <c r="F554" s="341"/>
      <c r="G554" s="339">
        <f>G555+G579</f>
        <v>109926.5</v>
      </c>
      <c r="H554" s="339">
        <f>H555+H579</f>
        <v>53248.060000000012</v>
      </c>
      <c r="I554" s="339">
        <f t="shared" si="40"/>
        <v>48.439693795399663</v>
      </c>
    </row>
    <row r="555" spans="1:10" ht="38.25" customHeight="1" x14ac:dyDescent="0.25">
      <c r="A555" s="340" t="s">
        <v>423</v>
      </c>
      <c r="B555" s="337">
        <v>906</v>
      </c>
      <c r="C555" s="341" t="s">
        <v>280</v>
      </c>
      <c r="D555" s="341" t="s">
        <v>134</v>
      </c>
      <c r="E555" s="341" t="s">
        <v>424</v>
      </c>
      <c r="F555" s="341"/>
      <c r="G555" s="339">
        <f>G556+G563</f>
        <v>98857.5</v>
      </c>
      <c r="H555" s="339">
        <f>H556+H563</f>
        <v>47397.760000000009</v>
      </c>
      <c r="I555" s="339">
        <f t="shared" si="40"/>
        <v>47.945537769010961</v>
      </c>
    </row>
    <row r="556" spans="1:10" s="218" customFormat="1" ht="38.25" customHeight="1" x14ac:dyDescent="0.25">
      <c r="A556" s="340" t="s">
        <v>1028</v>
      </c>
      <c r="B556" s="337">
        <v>906</v>
      </c>
      <c r="C556" s="341" t="s">
        <v>280</v>
      </c>
      <c r="D556" s="341" t="s">
        <v>134</v>
      </c>
      <c r="E556" s="341" t="s">
        <v>1006</v>
      </c>
      <c r="F556" s="341"/>
      <c r="G556" s="339">
        <f>G557+G560</f>
        <v>13017</v>
      </c>
      <c r="H556" s="339">
        <f>H557+H560</f>
        <v>7293.3</v>
      </c>
      <c r="I556" s="339">
        <f t="shared" si="40"/>
        <v>56.02903894906661</v>
      </c>
      <c r="J556" s="332"/>
    </row>
    <row r="557" spans="1:10" ht="47.25" x14ac:dyDescent="0.25">
      <c r="A557" s="342" t="s">
        <v>1063</v>
      </c>
      <c r="B557" s="336">
        <v>906</v>
      </c>
      <c r="C557" s="338" t="s">
        <v>280</v>
      </c>
      <c r="D557" s="338" t="s">
        <v>134</v>
      </c>
      <c r="E557" s="338" t="s">
        <v>1062</v>
      </c>
      <c r="F557" s="338"/>
      <c r="G557" s="343">
        <f>G558</f>
        <v>8823.6999999999989</v>
      </c>
      <c r="H557" s="343">
        <f>H558</f>
        <v>4933.6000000000004</v>
      </c>
      <c r="I557" s="343">
        <f t="shared" si="40"/>
        <v>55.913052347654627</v>
      </c>
    </row>
    <row r="558" spans="1:10" ht="31.5" x14ac:dyDescent="0.25">
      <c r="A558" s="342" t="s">
        <v>288</v>
      </c>
      <c r="B558" s="336">
        <v>906</v>
      </c>
      <c r="C558" s="338" t="s">
        <v>280</v>
      </c>
      <c r="D558" s="338" t="s">
        <v>134</v>
      </c>
      <c r="E558" s="338" t="s">
        <v>1062</v>
      </c>
      <c r="F558" s="338" t="s">
        <v>289</v>
      </c>
      <c r="G558" s="343">
        <f>G559</f>
        <v>8823.6999999999989</v>
      </c>
      <c r="H558" s="343">
        <f>H559</f>
        <v>4933.6000000000004</v>
      </c>
      <c r="I558" s="343">
        <f t="shared" si="40"/>
        <v>55.913052347654627</v>
      </c>
    </row>
    <row r="559" spans="1:10" ht="15.75" x14ac:dyDescent="0.25">
      <c r="A559" s="342" t="s">
        <v>290</v>
      </c>
      <c r="B559" s="336">
        <v>906</v>
      </c>
      <c r="C559" s="338" t="s">
        <v>280</v>
      </c>
      <c r="D559" s="338" t="s">
        <v>134</v>
      </c>
      <c r="E559" s="338" t="s">
        <v>1062</v>
      </c>
      <c r="F559" s="338" t="s">
        <v>291</v>
      </c>
      <c r="G559" s="344">
        <f>13527-5302.7-1000+990+609.4</f>
        <v>8823.6999999999989</v>
      </c>
      <c r="H559" s="344">
        <v>4933.6000000000004</v>
      </c>
      <c r="I559" s="343">
        <f t="shared" si="40"/>
        <v>55.913052347654627</v>
      </c>
    </row>
    <row r="560" spans="1:10" s="218" customFormat="1" ht="47.25" x14ac:dyDescent="0.25">
      <c r="A560" s="342" t="s">
        <v>1238</v>
      </c>
      <c r="B560" s="336">
        <v>906</v>
      </c>
      <c r="C560" s="338" t="s">
        <v>280</v>
      </c>
      <c r="D560" s="338" t="s">
        <v>134</v>
      </c>
      <c r="E560" s="338" t="s">
        <v>1064</v>
      </c>
      <c r="F560" s="338"/>
      <c r="G560" s="343">
        <f>G561</f>
        <v>4193.3</v>
      </c>
      <c r="H560" s="343">
        <f>H561</f>
        <v>2359.6999999999998</v>
      </c>
      <c r="I560" s="343">
        <f t="shared" si="40"/>
        <v>56.273102329907218</v>
      </c>
      <c r="J560" s="332"/>
    </row>
    <row r="561" spans="1:11" s="218" customFormat="1" ht="31.5" x14ac:dyDescent="0.25">
      <c r="A561" s="342" t="s">
        <v>288</v>
      </c>
      <c r="B561" s="336">
        <v>906</v>
      </c>
      <c r="C561" s="338" t="s">
        <v>280</v>
      </c>
      <c r="D561" s="338" t="s">
        <v>134</v>
      </c>
      <c r="E561" s="338" t="s">
        <v>1064</v>
      </c>
      <c r="F561" s="338" t="s">
        <v>289</v>
      </c>
      <c r="G561" s="343">
        <f>G562</f>
        <v>4193.3</v>
      </c>
      <c r="H561" s="343">
        <f>H562</f>
        <v>2359.6999999999998</v>
      </c>
      <c r="I561" s="343">
        <f t="shared" si="40"/>
        <v>56.273102329907218</v>
      </c>
      <c r="J561" s="332"/>
    </row>
    <row r="562" spans="1:11" s="218" customFormat="1" ht="15.75" x14ac:dyDescent="0.25">
      <c r="A562" s="342" t="s">
        <v>290</v>
      </c>
      <c r="B562" s="336">
        <v>906</v>
      </c>
      <c r="C562" s="338" t="s">
        <v>280</v>
      </c>
      <c r="D562" s="338" t="s">
        <v>134</v>
      </c>
      <c r="E562" s="338" t="s">
        <v>1064</v>
      </c>
      <c r="F562" s="338" t="s">
        <v>291</v>
      </c>
      <c r="G562" s="344">
        <f>4802.7-609.4</f>
        <v>4193.3</v>
      </c>
      <c r="H562" s="344">
        <v>2359.6999999999998</v>
      </c>
      <c r="I562" s="343">
        <f t="shared" si="40"/>
        <v>56.273102329907218</v>
      </c>
      <c r="J562" s="332"/>
      <c r="K562" s="116"/>
    </row>
    <row r="563" spans="1:11" s="218" customFormat="1" ht="31.7" customHeight="1" x14ac:dyDescent="0.25">
      <c r="A563" s="340" t="s">
        <v>971</v>
      </c>
      <c r="B563" s="337">
        <v>906</v>
      </c>
      <c r="C563" s="341" t="s">
        <v>280</v>
      </c>
      <c r="D563" s="341" t="s">
        <v>134</v>
      </c>
      <c r="E563" s="341" t="s">
        <v>1021</v>
      </c>
      <c r="F563" s="341"/>
      <c r="G563" s="44">
        <f>G567+G570+G573+G576+G564</f>
        <v>85840.5</v>
      </c>
      <c r="H563" s="44">
        <f>H567+H570+H573+H576+H564</f>
        <v>40104.460000000006</v>
      </c>
      <c r="I563" s="339">
        <f t="shared" si="40"/>
        <v>46.719741846797262</v>
      </c>
      <c r="J563" s="332"/>
    </row>
    <row r="564" spans="1:11" s="332" customFormat="1" ht="80.45" customHeight="1" x14ac:dyDescent="0.25">
      <c r="A564" s="31" t="s">
        <v>309</v>
      </c>
      <c r="B564" s="336">
        <v>906</v>
      </c>
      <c r="C564" s="338" t="s">
        <v>280</v>
      </c>
      <c r="D564" s="338" t="s">
        <v>134</v>
      </c>
      <c r="E564" s="338" t="s">
        <v>1519</v>
      </c>
      <c r="F564" s="338"/>
      <c r="G564" s="344">
        <f>G565</f>
        <v>1966.1</v>
      </c>
      <c r="H564" s="344">
        <f>H565</f>
        <v>937.4</v>
      </c>
      <c r="I564" s="343">
        <f t="shared" si="40"/>
        <v>47.678144550124614</v>
      </c>
    </row>
    <row r="565" spans="1:11" s="332" customFormat="1" ht="31.7" customHeight="1" x14ac:dyDescent="0.25">
      <c r="A565" s="342" t="s">
        <v>288</v>
      </c>
      <c r="B565" s="336">
        <v>906</v>
      </c>
      <c r="C565" s="338" t="s">
        <v>280</v>
      </c>
      <c r="D565" s="338" t="s">
        <v>134</v>
      </c>
      <c r="E565" s="338" t="s">
        <v>1519</v>
      </c>
      <c r="F565" s="338" t="s">
        <v>289</v>
      </c>
      <c r="G565" s="344">
        <f>G566</f>
        <v>1966.1</v>
      </c>
      <c r="H565" s="344">
        <f>H566</f>
        <v>937.4</v>
      </c>
      <c r="I565" s="343">
        <f t="shared" si="40"/>
        <v>47.678144550124614</v>
      </c>
    </row>
    <row r="566" spans="1:11" s="332" customFormat="1" ht="15.75" x14ac:dyDescent="0.25">
      <c r="A566" s="342" t="s">
        <v>290</v>
      </c>
      <c r="B566" s="336">
        <v>906</v>
      </c>
      <c r="C566" s="338" t="s">
        <v>280</v>
      </c>
      <c r="D566" s="338" t="s">
        <v>134</v>
      </c>
      <c r="E566" s="338" t="s">
        <v>1519</v>
      </c>
      <c r="F566" s="338" t="s">
        <v>291</v>
      </c>
      <c r="G566" s="344">
        <v>1966.1</v>
      </c>
      <c r="H566" s="344">
        <v>937.4</v>
      </c>
      <c r="I566" s="343">
        <f t="shared" si="40"/>
        <v>47.678144550124614</v>
      </c>
    </row>
    <row r="567" spans="1:11" s="218" customFormat="1" ht="61.5" customHeight="1" x14ac:dyDescent="0.25">
      <c r="A567" s="31" t="s">
        <v>305</v>
      </c>
      <c r="B567" s="336">
        <v>906</v>
      </c>
      <c r="C567" s="338" t="s">
        <v>280</v>
      </c>
      <c r="D567" s="338" t="s">
        <v>134</v>
      </c>
      <c r="E567" s="338" t="s">
        <v>1020</v>
      </c>
      <c r="F567" s="338"/>
      <c r="G567" s="343">
        <f>G568</f>
        <v>559.70000000000005</v>
      </c>
      <c r="H567" s="343">
        <f>H568</f>
        <v>236.9</v>
      </c>
      <c r="I567" s="343">
        <f t="shared" si="40"/>
        <v>42.326246203323208</v>
      </c>
      <c r="J567" s="332"/>
    </row>
    <row r="568" spans="1:11" s="218" customFormat="1" ht="31.5" x14ac:dyDescent="0.25">
      <c r="A568" s="342" t="s">
        <v>288</v>
      </c>
      <c r="B568" s="336">
        <v>906</v>
      </c>
      <c r="C568" s="338" t="s">
        <v>280</v>
      </c>
      <c r="D568" s="338" t="s">
        <v>134</v>
      </c>
      <c r="E568" s="338" t="s">
        <v>1020</v>
      </c>
      <c r="F568" s="338" t="s">
        <v>289</v>
      </c>
      <c r="G568" s="343">
        <f>G569</f>
        <v>559.70000000000005</v>
      </c>
      <c r="H568" s="343">
        <f>H569</f>
        <v>236.9</v>
      </c>
      <c r="I568" s="343">
        <f t="shared" si="40"/>
        <v>42.326246203323208</v>
      </c>
      <c r="J568" s="332"/>
    </row>
    <row r="569" spans="1:11" s="218" customFormat="1" ht="15.75" x14ac:dyDescent="0.25">
      <c r="A569" s="342" t="s">
        <v>290</v>
      </c>
      <c r="B569" s="336">
        <v>906</v>
      </c>
      <c r="C569" s="338" t="s">
        <v>280</v>
      </c>
      <c r="D569" s="338" t="s">
        <v>134</v>
      </c>
      <c r="E569" s="338" t="s">
        <v>1020</v>
      </c>
      <c r="F569" s="338" t="s">
        <v>291</v>
      </c>
      <c r="G569" s="343">
        <f>559.71-0.01</f>
        <v>559.70000000000005</v>
      </c>
      <c r="H569" s="343">
        <v>236.9</v>
      </c>
      <c r="I569" s="343">
        <f t="shared" si="40"/>
        <v>42.326246203323208</v>
      </c>
      <c r="J569" s="332"/>
    </row>
    <row r="570" spans="1:11" s="218" customFormat="1" ht="63" x14ac:dyDescent="0.25">
      <c r="A570" s="31" t="s">
        <v>436</v>
      </c>
      <c r="B570" s="336">
        <v>906</v>
      </c>
      <c r="C570" s="338" t="s">
        <v>280</v>
      </c>
      <c r="D570" s="338" t="s">
        <v>134</v>
      </c>
      <c r="E570" s="338" t="s">
        <v>1023</v>
      </c>
      <c r="F570" s="338"/>
      <c r="G570" s="343">
        <f>G571</f>
        <v>1629.3</v>
      </c>
      <c r="H570" s="343">
        <f>H571</f>
        <v>750.4</v>
      </c>
      <c r="I570" s="343">
        <f t="shared" si="40"/>
        <v>46.056588719081816</v>
      </c>
      <c r="J570" s="332"/>
    </row>
    <row r="571" spans="1:11" s="218" customFormat="1" ht="31.5" x14ac:dyDescent="0.25">
      <c r="A571" s="342" t="s">
        <v>288</v>
      </c>
      <c r="B571" s="336">
        <v>906</v>
      </c>
      <c r="C571" s="338" t="s">
        <v>280</v>
      </c>
      <c r="D571" s="338" t="s">
        <v>134</v>
      </c>
      <c r="E571" s="338" t="s">
        <v>1023</v>
      </c>
      <c r="F571" s="338" t="s">
        <v>289</v>
      </c>
      <c r="G571" s="343">
        <f>G572</f>
        <v>1629.3</v>
      </c>
      <c r="H571" s="343">
        <f>H572</f>
        <v>750.4</v>
      </c>
      <c r="I571" s="343">
        <f t="shared" si="40"/>
        <v>46.056588719081816</v>
      </c>
      <c r="J571" s="332"/>
    </row>
    <row r="572" spans="1:11" s="218" customFormat="1" ht="15.75" x14ac:dyDescent="0.25">
      <c r="A572" s="342" t="s">
        <v>290</v>
      </c>
      <c r="B572" s="336">
        <v>906</v>
      </c>
      <c r="C572" s="338" t="s">
        <v>280</v>
      </c>
      <c r="D572" s="338" t="s">
        <v>134</v>
      </c>
      <c r="E572" s="338" t="s">
        <v>1023</v>
      </c>
      <c r="F572" s="338" t="s">
        <v>291</v>
      </c>
      <c r="G572" s="343">
        <f>1629.37-0.07</f>
        <v>1629.3</v>
      </c>
      <c r="H572" s="343">
        <v>750.4</v>
      </c>
      <c r="I572" s="343">
        <f t="shared" si="40"/>
        <v>46.056588719081816</v>
      </c>
      <c r="J572" s="332"/>
    </row>
    <row r="573" spans="1:11" s="218" customFormat="1" ht="78.75" x14ac:dyDescent="0.25">
      <c r="A573" s="31" t="s">
        <v>437</v>
      </c>
      <c r="B573" s="336">
        <v>906</v>
      </c>
      <c r="C573" s="338" t="s">
        <v>280</v>
      </c>
      <c r="D573" s="338" t="s">
        <v>134</v>
      </c>
      <c r="E573" s="338" t="s">
        <v>1022</v>
      </c>
      <c r="F573" s="338"/>
      <c r="G573" s="343">
        <f>G574</f>
        <v>80735.399999999994</v>
      </c>
      <c r="H573" s="343">
        <f>H574</f>
        <v>37229.760000000002</v>
      </c>
      <c r="I573" s="343">
        <f t="shared" si="40"/>
        <v>46.113303457962687</v>
      </c>
      <c r="J573" s="332"/>
    </row>
    <row r="574" spans="1:11" s="218" customFormat="1" ht="31.5" x14ac:dyDescent="0.25">
      <c r="A574" s="342" t="s">
        <v>288</v>
      </c>
      <c r="B574" s="336">
        <v>906</v>
      </c>
      <c r="C574" s="338" t="s">
        <v>280</v>
      </c>
      <c r="D574" s="338" t="s">
        <v>134</v>
      </c>
      <c r="E574" s="338" t="s">
        <v>1022</v>
      </c>
      <c r="F574" s="338" t="s">
        <v>289</v>
      </c>
      <c r="G574" s="343">
        <f>G575</f>
        <v>80735.399999999994</v>
      </c>
      <c r="H574" s="343">
        <f>H575</f>
        <v>37229.760000000002</v>
      </c>
      <c r="I574" s="343">
        <f t="shared" si="40"/>
        <v>46.113303457962687</v>
      </c>
      <c r="J574" s="332"/>
    </row>
    <row r="575" spans="1:11" s="218" customFormat="1" ht="15.75" x14ac:dyDescent="0.25">
      <c r="A575" s="342" t="s">
        <v>290</v>
      </c>
      <c r="B575" s="336">
        <v>906</v>
      </c>
      <c r="C575" s="338" t="s">
        <v>280</v>
      </c>
      <c r="D575" s="338" t="s">
        <v>134</v>
      </c>
      <c r="E575" s="338" t="s">
        <v>1022</v>
      </c>
      <c r="F575" s="338" t="s">
        <v>291</v>
      </c>
      <c r="G575" s="344">
        <v>80735.399999999994</v>
      </c>
      <c r="H575" s="344">
        <v>37229.760000000002</v>
      </c>
      <c r="I575" s="343">
        <f t="shared" si="40"/>
        <v>46.113303457962687</v>
      </c>
      <c r="J575" s="332"/>
    </row>
    <row r="576" spans="1:11" s="218" customFormat="1" ht="84.75" customHeight="1" x14ac:dyDescent="0.25">
      <c r="A576" s="31" t="s">
        <v>309</v>
      </c>
      <c r="B576" s="336">
        <v>906</v>
      </c>
      <c r="C576" s="338" t="s">
        <v>280</v>
      </c>
      <c r="D576" s="338" t="s">
        <v>134</v>
      </c>
      <c r="E576" s="338" t="s">
        <v>1024</v>
      </c>
      <c r="F576" s="338"/>
      <c r="G576" s="343">
        <f>G577</f>
        <v>950.00000000000045</v>
      </c>
      <c r="H576" s="343">
        <f>H577</f>
        <v>950</v>
      </c>
      <c r="I576" s="343">
        <f t="shared" si="40"/>
        <v>99.999999999999957</v>
      </c>
      <c r="J576" s="332"/>
    </row>
    <row r="577" spans="1:10" s="218" customFormat="1" ht="31.5" x14ac:dyDescent="0.25">
      <c r="A577" s="342" t="s">
        <v>288</v>
      </c>
      <c r="B577" s="336">
        <v>906</v>
      </c>
      <c r="C577" s="338" t="s">
        <v>280</v>
      </c>
      <c r="D577" s="338" t="s">
        <v>134</v>
      </c>
      <c r="E577" s="338" t="s">
        <v>1024</v>
      </c>
      <c r="F577" s="338" t="s">
        <v>289</v>
      </c>
      <c r="G577" s="343">
        <f>G578</f>
        <v>950.00000000000045</v>
      </c>
      <c r="H577" s="343">
        <f>H578</f>
        <v>950</v>
      </c>
      <c r="I577" s="343">
        <f t="shared" si="40"/>
        <v>99.999999999999957</v>
      </c>
      <c r="J577" s="332"/>
    </row>
    <row r="578" spans="1:10" s="218" customFormat="1" ht="15.75" x14ac:dyDescent="0.25">
      <c r="A578" s="342" t="s">
        <v>290</v>
      </c>
      <c r="B578" s="336">
        <v>906</v>
      </c>
      <c r="C578" s="338" t="s">
        <v>280</v>
      </c>
      <c r="D578" s="338" t="s">
        <v>134</v>
      </c>
      <c r="E578" s="338" t="s">
        <v>1024</v>
      </c>
      <c r="F578" s="338" t="s">
        <v>291</v>
      </c>
      <c r="G578" s="344">
        <f>2916.07+0.03-1966.1</f>
        <v>950.00000000000045</v>
      </c>
      <c r="H578" s="344">
        <v>950</v>
      </c>
      <c r="I578" s="343">
        <f t="shared" si="40"/>
        <v>99.999999999999957</v>
      </c>
      <c r="J578" s="332"/>
    </row>
    <row r="579" spans="1:10" ht="30.2" customHeight="1" x14ac:dyDescent="0.25">
      <c r="A579" s="340" t="s">
        <v>427</v>
      </c>
      <c r="B579" s="337">
        <v>906</v>
      </c>
      <c r="C579" s="341" t="s">
        <v>280</v>
      </c>
      <c r="D579" s="341" t="s">
        <v>134</v>
      </c>
      <c r="E579" s="341" t="s">
        <v>428</v>
      </c>
      <c r="F579" s="341"/>
      <c r="G579" s="339">
        <f>G580+G590+G600+G607</f>
        <v>11069</v>
      </c>
      <c r="H579" s="339">
        <f>H580+H590+H600+H607</f>
        <v>5850.3</v>
      </c>
      <c r="I579" s="339">
        <f t="shared" si="40"/>
        <v>52.853012918962875</v>
      </c>
    </row>
    <row r="580" spans="1:10" s="218" customFormat="1" ht="30.2" customHeight="1" x14ac:dyDescent="0.25">
      <c r="A580" s="340" t="s">
        <v>1007</v>
      </c>
      <c r="B580" s="337">
        <v>906</v>
      </c>
      <c r="C580" s="341" t="s">
        <v>280</v>
      </c>
      <c r="D580" s="341" t="s">
        <v>134</v>
      </c>
      <c r="E580" s="341" t="s">
        <v>1008</v>
      </c>
      <c r="F580" s="341"/>
      <c r="G580" s="339">
        <f>G581+G584+G587</f>
        <v>4430</v>
      </c>
      <c r="H580" s="339">
        <f>H581+H584+H587</f>
        <v>2430.3000000000002</v>
      </c>
      <c r="I580" s="339">
        <f t="shared" si="40"/>
        <v>54.860045146726868</v>
      </c>
      <c r="J580" s="332"/>
    </row>
    <row r="581" spans="1:10" ht="35.450000000000003" hidden="1" customHeight="1" x14ac:dyDescent="0.25">
      <c r="A581" s="342" t="s">
        <v>294</v>
      </c>
      <c r="B581" s="336">
        <v>906</v>
      </c>
      <c r="C581" s="338" t="s">
        <v>280</v>
      </c>
      <c r="D581" s="338" t="s">
        <v>134</v>
      </c>
      <c r="E581" s="338" t="s">
        <v>1009</v>
      </c>
      <c r="F581" s="338"/>
      <c r="G581" s="343">
        <f>G582</f>
        <v>0</v>
      </c>
      <c r="H581" s="343">
        <f>H582</f>
        <v>0</v>
      </c>
      <c r="I581" s="343" t="e">
        <f t="shared" si="40"/>
        <v>#DIV/0!</v>
      </c>
    </row>
    <row r="582" spans="1:10" ht="35.450000000000003" hidden="1" customHeight="1" x14ac:dyDescent="0.25">
      <c r="A582" s="342" t="s">
        <v>288</v>
      </c>
      <c r="B582" s="336">
        <v>906</v>
      </c>
      <c r="C582" s="338" t="s">
        <v>280</v>
      </c>
      <c r="D582" s="338" t="s">
        <v>134</v>
      </c>
      <c r="E582" s="338" t="s">
        <v>1009</v>
      </c>
      <c r="F582" s="338" t="s">
        <v>289</v>
      </c>
      <c r="G582" s="343">
        <f>G583</f>
        <v>0</v>
      </c>
      <c r="H582" s="343">
        <f>H583</f>
        <v>0</v>
      </c>
      <c r="I582" s="343" t="e">
        <f t="shared" si="40"/>
        <v>#DIV/0!</v>
      </c>
    </row>
    <row r="583" spans="1:10" ht="15.75" hidden="1" customHeight="1" x14ac:dyDescent="0.25">
      <c r="A583" s="342" t="s">
        <v>290</v>
      </c>
      <c r="B583" s="336">
        <v>906</v>
      </c>
      <c r="C583" s="338" t="s">
        <v>280</v>
      </c>
      <c r="D583" s="338" t="s">
        <v>134</v>
      </c>
      <c r="E583" s="338" t="s">
        <v>1009</v>
      </c>
      <c r="F583" s="338" t="s">
        <v>291</v>
      </c>
      <c r="G583" s="343">
        <v>0</v>
      </c>
      <c r="H583" s="343">
        <v>0</v>
      </c>
      <c r="I583" s="343" t="e">
        <f t="shared" si="40"/>
        <v>#DIV/0!</v>
      </c>
    </row>
    <row r="584" spans="1:10" ht="39.200000000000003" hidden="1" customHeight="1" x14ac:dyDescent="0.25">
      <c r="A584" s="342" t="s">
        <v>296</v>
      </c>
      <c r="B584" s="336">
        <v>906</v>
      </c>
      <c r="C584" s="338" t="s">
        <v>280</v>
      </c>
      <c r="D584" s="338" t="s">
        <v>134</v>
      </c>
      <c r="E584" s="338" t="s">
        <v>1010</v>
      </c>
      <c r="F584" s="338"/>
      <c r="G584" s="343">
        <f>G585</f>
        <v>0</v>
      </c>
      <c r="H584" s="343">
        <f>H585</f>
        <v>0</v>
      </c>
      <c r="I584" s="343" t="e">
        <f t="shared" si="40"/>
        <v>#DIV/0!</v>
      </c>
    </row>
    <row r="585" spans="1:10" ht="31.5" hidden="1" x14ac:dyDescent="0.25">
      <c r="A585" s="342" t="s">
        <v>288</v>
      </c>
      <c r="B585" s="336">
        <v>906</v>
      </c>
      <c r="C585" s="338" t="s">
        <v>280</v>
      </c>
      <c r="D585" s="338" t="s">
        <v>134</v>
      </c>
      <c r="E585" s="338" t="s">
        <v>1010</v>
      </c>
      <c r="F585" s="338" t="s">
        <v>289</v>
      </c>
      <c r="G585" s="343">
        <f>G586</f>
        <v>0</v>
      </c>
      <c r="H585" s="343">
        <f>H586</f>
        <v>0</v>
      </c>
      <c r="I585" s="343" t="e">
        <f t="shared" si="40"/>
        <v>#DIV/0!</v>
      </c>
    </row>
    <row r="586" spans="1:10" ht="15.75" hidden="1" x14ac:dyDescent="0.25">
      <c r="A586" s="342" t="s">
        <v>290</v>
      </c>
      <c r="B586" s="336">
        <v>906</v>
      </c>
      <c r="C586" s="338" t="s">
        <v>280</v>
      </c>
      <c r="D586" s="338" t="s">
        <v>134</v>
      </c>
      <c r="E586" s="338" t="s">
        <v>1010</v>
      </c>
      <c r="F586" s="338" t="s">
        <v>291</v>
      </c>
      <c r="G586" s="343">
        <v>0</v>
      </c>
      <c r="H586" s="343">
        <v>0</v>
      </c>
      <c r="I586" s="343" t="e">
        <f t="shared" si="40"/>
        <v>#DIV/0!</v>
      </c>
    </row>
    <row r="587" spans="1:10" ht="31.5" x14ac:dyDescent="0.25">
      <c r="A587" s="345" t="s">
        <v>431</v>
      </c>
      <c r="B587" s="336">
        <v>906</v>
      </c>
      <c r="C587" s="338" t="s">
        <v>280</v>
      </c>
      <c r="D587" s="338" t="s">
        <v>134</v>
      </c>
      <c r="E587" s="338" t="s">
        <v>1011</v>
      </c>
      <c r="F587" s="338"/>
      <c r="G587" s="343">
        <f>G588</f>
        <v>4430</v>
      </c>
      <c r="H587" s="343">
        <f>H588</f>
        <v>2430.3000000000002</v>
      </c>
      <c r="I587" s="343">
        <f t="shared" ref="I587:I650" si="44">H587/G587*100</f>
        <v>54.860045146726868</v>
      </c>
    </row>
    <row r="588" spans="1:10" ht="31.5" x14ac:dyDescent="0.25">
      <c r="A588" s="342" t="s">
        <v>288</v>
      </c>
      <c r="B588" s="336">
        <v>906</v>
      </c>
      <c r="C588" s="338" t="s">
        <v>280</v>
      </c>
      <c r="D588" s="338" t="s">
        <v>134</v>
      </c>
      <c r="E588" s="338" t="s">
        <v>1011</v>
      </c>
      <c r="F588" s="338" t="s">
        <v>289</v>
      </c>
      <c r="G588" s="343">
        <f>G589</f>
        <v>4430</v>
      </c>
      <c r="H588" s="343">
        <f>H589</f>
        <v>2430.3000000000002</v>
      </c>
      <c r="I588" s="343">
        <f t="shared" si="44"/>
        <v>54.860045146726868</v>
      </c>
    </row>
    <row r="589" spans="1:10" ht="15.75" x14ac:dyDescent="0.25">
      <c r="A589" s="342" t="s">
        <v>290</v>
      </c>
      <c r="B589" s="336">
        <v>906</v>
      </c>
      <c r="C589" s="338" t="s">
        <v>280</v>
      </c>
      <c r="D589" s="338" t="s">
        <v>134</v>
      </c>
      <c r="E589" s="338" t="s">
        <v>1011</v>
      </c>
      <c r="F589" s="338" t="s">
        <v>291</v>
      </c>
      <c r="G589" s="344">
        <v>4430</v>
      </c>
      <c r="H589" s="344">
        <v>2430.3000000000002</v>
      </c>
      <c r="I589" s="343">
        <f t="shared" si="44"/>
        <v>54.860045146726868</v>
      </c>
    </row>
    <row r="590" spans="1:10" s="218" customFormat="1" ht="31.5" x14ac:dyDescent="0.25">
      <c r="A590" s="231" t="s">
        <v>1077</v>
      </c>
      <c r="B590" s="337">
        <v>906</v>
      </c>
      <c r="C590" s="341" t="s">
        <v>280</v>
      </c>
      <c r="D590" s="341" t="s">
        <v>134</v>
      </c>
      <c r="E590" s="341" t="s">
        <v>1012</v>
      </c>
      <c r="F590" s="341"/>
      <c r="G590" s="44">
        <f>G591+G594+G597</f>
        <v>4610</v>
      </c>
      <c r="H590" s="44">
        <f>H591+H594+H597</f>
        <v>3420</v>
      </c>
      <c r="I590" s="339">
        <f t="shared" si="44"/>
        <v>74.186550976138832</v>
      </c>
      <c r="J590" s="332"/>
    </row>
    <row r="591" spans="1:10" ht="31.7" hidden="1" customHeight="1" x14ac:dyDescent="0.25">
      <c r="A591" s="342" t="s">
        <v>300</v>
      </c>
      <c r="B591" s="336">
        <v>906</v>
      </c>
      <c r="C591" s="338" t="s">
        <v>280</v>
      </c>
      <c r="D591" s="338" t="s">
        <v>134</v>
      </c>
      <c r="E591" s="338" t="s">
        <v>1013</v>
      </c>
      <c r="F591" s="338"/>
      <c r="G591" s="343">
        <f>G592</f>
        <v>0</v>
      </c>
      <c r="H591" s="343">
        <f>H592</f>
        <v>0</v>
      </c>
      <c r="I591" s="343" t="e">
        <f t="shared" si="44"/>
        <v>#DIV/0!</v>
      </c>
    </row>
    <row r="592" spans="1:10" ht="38.25" hidden="1" customHeight="1" x14ac:dyDescent="0.25">
      <c r="A592" s="342" t="s">
        <v>288</v>
      </c>
      <c r="B592" s="336">
        <v>906</v>
      </c>
      <c r="C592" s="338" t="s">
        <v>280</v>
      </c>
      <c r="D592" s="338" t="s">
        <v>134</v>
      </c>
      <c r="E592" s="338" t="s">
        <v>1013</v>
      </c>
      <c r="F592" s="338" t="s">
        <v>289</v>
      </c>
      <c r="G592" s="343">
        <f>G593</f>
        <v>0</v>
      </c>
      <c r="H592" s="343">
        <f>H593</f>
        <v>0</v>
      </c>
      <c r="I592" s="343" t="e">
        <f t="shared" si="44"/>
        <v>#DIV/0!</v>
      </c>
    </row>
    <row r="593" spans="1:10" ht="15.75" hidden="1" customHeight="1" x14ac:dyDescent="0.25">
      <c r="A593" s="342" t="s">
        <v>290</v>
      </c>
      <c r="B593" s="336">
        <v>906</v>
      </c>
      <c r="C593" s="338" t="s">
        <v>280</v>
      </c>
      <c r="D593" s="338" t="s">
        <v>134</v>
      </c>
      <c r="E593" s="338" t="s">
        <v>1013</v>
      </c>
      <c r="F593" s="338" t="s">
        <v>291</v>
      </c>
      <c r="G593" s="343">
        <v>0</v>
      </c>
      <c r="H593" s="343">
        <v>0</v>
      </c>
      <c r="I593" s="343" t="e">
        <f t="shared" si="44"/>
        <v>#DIV/0!</v>
      </c>
    </row>
    <row r="594" spans="1:10" ht="34.5" customHeight="1" x14ac:dyDescent="0.25">
      <c r="A594" s="60" t="s">
        <v>787</v>
      </c>
      <c r="B594" s="336">
        <v>906</v>
      </c>
      <c r="C594" s="338" t="s">
        <v>280</v>
      </c>
      <c r="D594" s="338" t="s">
        <v>134</v>
      </c>
      <c r="E594" s="338" t="s">
        <v>1014</v>
      </c>
      <c r="F594" s="338"/>
      <c r="G594" s="343">
        <f>G595</f>
        <v>2850</v>
      </c>
      <c r="H594" s="343">
        <f>H595</f>
        <v>2800</v>
      </c>
      <c r="I594" s="343">
        <f t="shared" si="44"/>
        <v>98.245614035087712</v>
      </c>
    </row>
    <row r="595" spans="1:10" ht="32.25" customHeight="1" x14ac:dyDescent="0.25">
      <c r="A595" s="345" t="s">
        <v>288</v>
      </c>
      <c r="B595" s="336">
        <v>906</v>
      </c>
      <c r="C595" s="338" t="s">
        <v>280</v>
      </c>
      <c r="D595" s="338" t="s">
        <v>134</v>
      </c>
      <c r="E595" s="338" t="s">
        <v>1014</v>
      </c>
      <c r="F595" s="338" t="s">
        <v>289</v>
      </c>
      <c r="G595" s="343">
        <f>G596</f>
        <v>2850</v>
      </c>
      <c r="H595" s="343">
        <f>H596</f>
        <v>2800</v>
      </c>
      <c r="I595" s="343">
        <f t="shared" si="44"/>
        <v>98.245614035087712</v>
      </c>
    </row>
    <row r="596" spans="1:10" ht="15.75" customHeight="1" x14ac:dyDescent="0.25">
      <c r="A596" s="192" t="s">
        <v>290</v>
      </c>
      <c r="B596" s="336">
        <v>906</v>
      </c>
      <c r="C596" s="338" t="s">
        <v>280</v>
      </c>
      <c r="D596" s="338" t="s">
        <v>134</v>
      </c>
      <c r="E596" s="338" t="s">
        <v>1014</v>
      </c>
      <c r="F596" s="338" t="s">
        <v>291</v>
      </c>
      <c r="G596" s="343">
        <f>2500+350</f>
        <v>2850</v>
      </c>
      <c r="H596" s="343">
        <v>2800</v>
      </c>
      <c r="I596" s="343">
        <f t="shared" si="44"/>
        <v>98.245614035087712</v>
      </c>
    </row>
    <row r="597" spans="1:10" ht="50.25" customHeight="1" x14ac:dyDescent="0.25">
      <c r="A597" s="60" t="s">
        <v>788</v>
      </c>
      <c r="B597" s="336">
        <v>906</v>
      </c>
      <c r="C597" s="338" t="s">
        <v>280</v>
      </c>
      <c r="D597" s="338" t="s">
        <v>134</v>
      </c>
      <c r="E597" s="338" t="s">
        <v>1015</v>
      </c>
      <c r="F597" s="338"/>
      <c r="G597" s="343">
        <f>G598</f>
        <v>1760</v>
      </c>
      <c r="H597" s="343">
        <f>H598</f>
        <v>620</v>
      </c>
      <c r="I597" s="343">
        <f t="shared" si="44"/>
        <v>35.227272727272727</v>
      </c>
    </row>
    <row r="598" spans="1:10" ht="31.5" x14ac:dyDescent="0.25">
      <c r="A598" s="345" t="s">
        <v>288</v>
      </c>
      <c r="B598" s="336">
        <v>906</v>
      </c>
      <c r="C598" s="338" t="s">
        <v>280</v>
      </c>
      <c r="D598" s="338" t="s">
        <v>134</v>
      </c>
      <c r="E598" s="338" t="s">
        <v>1015</v>
      </c>
      <c r="F598" s="338" t="s">
        <v>289</v>
      </c>
      <c r="G598" s="343">
        <f>G599</f>
        <v>1760</v>
      </c>
      <c r="H598" s="343">
        <f>H599</f>
        <v>620</v>
      </c>
      <c r="I598" s="343">
        <f t="shared" si="44"/>
        <v>35.227272727272727</v>
      </c>
    </row>
    <row r="599" spans="1:10" ht="15.75" x14ac:dyDescent="0.25">
      <c r="A599" s="192" t="s">
        <v>290</v>
      </c>
      <c r="B599" s="336">
        <v>906</v>
      </c>
      <c r="C599" s="338" t="s">
        <v>280</v>
      </c>
      <c r="D599" s="338" t="s">
        <v>134</v>
      </c>
      <c r="E599" s="338" t="s">
        <v>1015</v>
      </c>
      <c r="F599" s="338" t="s">
        <v>291</v>
      </c>
      <c r="G599" s="343">
        <v>1760</v>
      </c>
      <c r="H599" s="343">
        <v>620</v>
      </c>
      <c r="I599" s="343">
        <f t="shared" si="44"/>
        <v>35.227272727272727</v>
      </c>
    </row>
    <row r="600" spans="1:10" s="218" customFormat="1" ht="63" x14ac:dyDescent="0.25">
      <c r="A600" s="340" t="s">
        <v>1016</v>
      </c>
      <c r="B600" s="337">
        <v>906</v>
      </c>
      <c r="C600" s="341" t="s">
        <v>280</v>
      </c>
      <c r="D600" s="341" t="s">
        <v>134</v>
      </c>
      <c r="E600" s="341" t="s">
        <v>1017</v>
      </c>
      <c r="F600" s="341"/>
      <c r="G600" s="339">
        <f>G601+G604</f>
        <v>291.10000000000002</v>
      </c>
      <c r="H600" s="339">
        <f>H601+H604</f>
        <v>0</v>
      </c>
      <c r="I600" s="339">
        <f t="shared" si="44"/>
        <v>0</v>
      </c>
      <c r="J600" s="332"/>
    </row>
    <row r="601" spans="1:10" ht="108.75" customHeight="1" x14ac:dyDescent="0.25">
      <c r="A601" s="342" t="s">
        <v>1464</v>
      </c>
      <c r="B601" s="336">
        <v>906</v>
      </c>
      <c r="C601" s="338" t="s">
        <v>280</v>
      </c>
      <c r="D601" s="338" t="s">
        <v>134</v>
      </c>
      <c r="E601" s="338" t="s">
        <v>1018</v>
      </c>
      <c r="F601" s="338"/>
      <c r="G601" s="343">
        <f>G602</f>
        <v>124.4</v>
      </c>
      <c r="H601" s="343">
        <f>H602</f>
        <v>0</v>
      </c>
      <c r="I601" s="343">
        <f t="shared" si="44"/>
        <v>0</v>
      </c>
    </row>
    <row r="602" spans="1:10" ht="31.5" x14ac:dyDescent="0.25">
      <c r="A602" s="345" t="s">
        <v>288</v>
      </c>
      <c r="B602" s="336">
        <v>906</v>
      </c>
      <c r="C602" s="338" t="s">
        <v>280</v>
      </c>
      <c r="D602" s="338" t="s">
        <v>134</v>
      </c>
      <c r="E602" s="338" t="s">
        <v>1018</v>
      </c>
      <c r="F602" s="338" t="s">
        <v>289</v>
      </c>
      <c r="G602" s="343">
        <f>G603</f>
        <v>124.4</v>
      </c>
      <c r="H602" s="343">
        <f>H603</f>
        <v>0</v>
      </c>
      <c r="I602" s="343">
        <f t="shared" si="44"/>
        <v>0</v>
      </c>
    </row>
    <row r="603" spans="1:10" ht="18.75" customHeight="1" x14ac:dyDescent="0.25">
      <c r="A603" s="192" t="s">
        <v>290</v>
      </c>
      <c r="B603" s="336">
        <v>906</v>
      </c>
      <c r="C603" s="338" t="s">
        <v>280</v>
      </c>
      <c r="D603" s="338" t="s">
        <v>134</v>
      </c>
      <c r="E603" s="338" t="s">
        <v>1018</v>
      </c>
      <c r="F603" s="338" t="s">
        <v>291</v>
      </c>
      <c r="G603" s="343">
        <v>124.4</v>
      </c>
      <c r="H603" s="343">
        <v>0</v>
      </c>
      <c r="I603" s="343">
        <f t="shared" si="44"/>
        <v>0</v>
      </c>
    </row>
    <row r="604" spans="1:10" s="218" customFormat="1" ht="117.75" customHeight="1" x14ac:dyDescent="0.25">
      <c r="A604" s="342" t="s">
        <v>439</v>
      </c>
      <c r="B604" s="336">
        <v>906</v>
      </c>
      <c r="C604" s="338" t="s">
        <v>280</v>
      </c>
      <c r="D604" s="338" t="s">
        <v>134</v>
      </c>
      <c r="E604" s="338" t="s">
        <v>1019</v>
      </c>
      <c r="F604" s="338"/>
      <c r="G604" s="343">
        <f>G605</f>
        <v>166.7</v>
      </c>
      <c r="H604" s="343">
        <f>H605</f>
        <v>0</v>
      </c>
      <c r="I604" s="343">
        <f t="shared" si="44"/>
        <v>0</v>
      </c>
      <c r="J604" s="332"/>
    </row>
    <row r="605" spans="1:10" s="218" customFormat="1" ht="32.25" customHeight="1" x14ac:dyDescent="0.25">
      <c r="A605" s="342" t="s">
        <v>288</v>
      </c>
      <c r="B605" s="336">
        <v>906</v>
      </c>
      <c r="C605" s="338" t="s">
        <v>280</v>
      </c>
      <c r="D605" s="338" t="s">
        <v>134</v>
      </c>
      <c r="E605" s="338" t="s">
        <v>1019</v>
      </c>
      <c r="F605" s="338" t="s">
        <v>289</v>
      </c>
      <c r="G605" s="343">
        <f>G606</f>
        <v>166.7</v>
      </c>
      <c r="H605" s="343">
        <f>H606</f>
        <v>0</v>
      </c>
      <c r="I605" s="343">
        <f t="shared" si="44"/>
        <v>0</v>
      </c>
      <c r="J605" s="332"/>
    </row>
    <row r="606" spans="1:10" s="218" customFormat="1" ht="18.75" customHeight="1" x14ac:dyDescent="0.25">
      <c r="A606" s="342" t="s">
        <v>290</v>
      </c>
      <c r="B606" s="336">
        <v>906</v>
      </c>
      <c r="C606" s="338" t="s">
        <v>280</v>
      </c>
      <c r="D606" s="338" t="s">
        <v>134</v>
      </c>
      <c r="E606" s="338" t="s">
        <v>1019</v>
      </c>
      <c r="F606" s="338" t="s">
        <v>291</v>
      </c>
      <c r="G606" s="343">
        <v>166.7</v>
      </c>
      <c r="H606" s="343">
        <v>0</v>
      </c>
      <c r="I606" s="343">
        <f t="shared" si="44"/>
        <v>0</v>
      </c>
      <c r="J606" s="332"/>
    </row>
    <row r="607" spans="1:10" s="218" customFormat="1" ht="84.2" customHeight="1" x14ac:dyDescent="0.25">
      <c r="A607" s="340" t="s">
        <v>1546</v>
      </c>
      <c r="B607" s="337">
        <v>906</v>
      </c>
      <c r="C607" s="341" t="s">
        <v>280</v>
      </c>
      <c r="D607" s="341" t="s">
        <v>134</v>
      </c>
      <c r="E607" s="341" t="s">
        <v>1399</v>
      </c>
      <c r="F607" s="341"/>
      <c r="G607" s="339">
        <f>G608+G611</f>
        <v>1737.8999999999999</v>
      </c>
      <c r="H607" s="339">
        <f>H608+H611</f>
        <v>0</v>
      </c>
      <c r="I607" s="343">
        <f t="shared" si="44"/>
        <v>0</v>
      </c>
      <c r="J607" s="332"/>
    </row>
    <row r="608" spans="1:10" s="218" customFormat="1" ht="79.5" customHeight="1" x14ac:dyDescent="0.25">
      <c r="A608" s="151" t="s">
        <v>1543</v>
      </c>
      <c r="B608" s="336">
        <v>906</v>
      </c>
      <c r="C608" s="338" t="s">
        <v>280</v>
      </c>
      <c r="D608" s="338" t="s">
        <v>134</v>
      </c>
      <c r="E608" s="338" t="s">
        <v>1403</v>
      </c>
      <c r="F608" s="338"/>
      <c r="G608" s="343">
        <f>G609</f>
        <v>71.3</v>
      </c>
      <c r="H608" s="343">
        <f>H609</f>
        <v>0</v>
      </c>
      <c r="I608" s="343">
        <f t="shared" si="44"/>
        <v>0</v>
      </c>
      <c r="J608" s="332"/>
    </row>
    <row r="609" spans="1:10" s="218" customFormat="1" ht="35.450000000000003" customHeight="1" x14ac:dyDescent="0.25">
      <c r="A609" s="342" t="s">
        <v>288</v>
      </c>
      <c r="B609" s="336">
        <v>906</v>
      </c>
      <c r="C609" s="338" t="s">
        <v>280</v>
      </c>
      <c r="D609" s="338" t="s">
        <v>134</v>
      </c>
      <c r="E609" s="338" t="s">
        <v>1403</v>
      </c>
      <c r="F609" s="338" t="s">
        <v>289</v>
      </c>
      <c r="G609" s="343">
        <f>G610</f>
        <v>71.3</v>
      </c>
      <c r="H609" s="343">
        <f>H610</f>
        <v>0</v>
      </c>
      <c r="I609" s="343">
        <f t="shared" si="44"/>
        <v>0</v>
      </c>
      <c r="J609" s="332"/>
    </row>
    <row r="610" spans="1:10" s="218" customFormat="1" ht="18.75" customHeight="1" x14ac:dyDescent="0.25">
      <c r="A610" s="342" t="s">
        <v>290</v>
      </c>
      <c r="B610" s="336">
        <v>906</v>
      </c>
      <c r="C610" s="338" t="s">
        <v>280</v>
      </c>
      <c r="D610" s="338" t="s">
        <v>134</v>
      </c>
      <c r="E610" s="338" t="s">
        <v>1403</v>
      </c>
      <c r="F610" s="338" t="s">
        <v>291</v>
      </c>
      <c r="G610" s="343">
        <v>71.3</v>
      </c>
      <c r="H610" s="343"/>
      <c r="I610" s="343">
        <f t="shared" si="44"/>
        <v>0</v>
      </c>
      <c r="J610" s="332"/>
    </row>
    <row r="611" spans="1:10" s="218" customFormat="1" ht="82.5" customHeight="1" x14ac:dyDescent="0.25">
      <c r="A611" s="151" t="s">
        <v>1400</v>
      </c>
      <c r="B611" s="336">
        <v>906</v>
      </c>
      <c r="C611" s="338" t="s">
        <v>280</v>
      </c>
      <c r="D611" s="338" t="s">
        <v>134</v>
      </c>
      <c r="E611" s="338" t="s">
        <v>1402</v>
      </c>
      <c r="F611" s="338"/>
      <c r="G611" s="343">
        <f>G612</f>
        <v>1666.6</v>
      </c>
      <c r="H611" s="343">
        <f>H612</f>
        <v>0</v>
      </c>
      <c r="I611" s="343">
        <f t="shared" si="44"/>
        <v>0</v>
      </c>
      <c r="J611" s="332"/>
    </row>
    <row r="612" spans="1:10" s="218" customFormat="1" ht="36.75" customHeight="1" x14ac:dyDescent="0.25">
      <c r="A612" s="342" t="s">
        <v>288</v>
      </c>
      <c r="B612" s="336">
        <v>906</v>
      </c>
      <c r="C612" s="338" t="s">
        <v>280</v>
      </c>
      <c r="D612" s="338" t="s">
        <v>134</v>
      </c>
      <c r="E612" s="338" t="s">
        <v>1402</v>
      </c>
      <c r="F612" s="338" t="s">
        <v>289</v>
      </c>
      <c r="G612" s="343">
        <f>G613</f>
        <v>1666.6</v>
      </c>
      <c r="H612" s="343">
        <f>H613</f>
        <v>0</v>
      </c>
      <c r="I612" s="343">
        <f t="shared" si="44"/>
        <v>0</v>
      </c>
      <c r="J612" s="332"/>
    </row>
    <row r="613" spans="1:10" s="218" customFormat="1" ht="18.75" customHeight="1" x14ac:dyDescent="0.25">
      <c r="A613" s="342" t="s">
        <v>290</v>
      </c>
      <c r="B613" s="336">
        <v>906</v>
      </c>
      <c r="C613" s="338" t="s">
        <v>280</v>
      </c>
      <c r="D613" s="338" t="s">
        <v>134</v>
      </c>
      <c r="E613" s="338" t="s">
        <v>1402</v>
      </c>
      <c r="F613" s="338" t="s">
        <v>291</v>
      </c>
      <c r="G613" s="343">
        <v>1666.6</v>
      </c>
      <c r="H613" s="343">
        <v>0</v>
      </c>
      <c r="I613" s="343">
        <f t="shared" si="44"/>
        <v>0</v>
      </c>
      <c r="J613" s="332"/>
    </row>
    <row r="614" spans="1:10" ht="43.5" hidden="1" customHeight="1" x14ac:dyDescent="0.25">
      <c r="A614" s="34" t="s">
        <v>805</v>
      </c>
      <c r="B614" s="337">
        <v>906</v>
      </c>
      <c r="C614" s="341" t="s">
        <v>280</v>
      </c>
      <c r="D614" s="341" t="s">
        <v>134</v>
      </c>
      <c r="E614" s="341" t="s">
        <v>340</v>
      </c>
      <c r="F614" s="341"/>
      <c r="G614" s="339">
        <f t="shared" ref="G614:H617" si="45">G615</f>
        <v>0</v>
      </c>
      <c r="H614" s="339">
        <f t="shared" si="45"/>
        <v>0</v>
      </c>
      <c r="I614" s="343" t="e">
        <f t="shared" si="44"/>
        <v>#DIV/0!</v>
      </c>
    </row>
    <row r="615" spans="1:10" s="218" customFormat="1" ht="49.7" hidden="1" customHeight="1" x14ac:dyDescent="0.25">
      <c r="A615" s="34" t="s">
        <v>1162</v>
      </c>
      <c r="B615" s="337">
        <v>906</v>
      </c>
      <c r="C615" s="341" t="s">
        <v>280</v>
      </c>
      <c r="D615" s="341" t="s">
        <v>134</v>
      </c>
      <c r="E615" s="341" t="s">
        <v>1025</v>
      </c>
      <c r="F615" s="341"/>
      <c r="G615" s="339">
        <f t="shared" si="45"/>
        <v>0</v>
      </c>
      <c r="H615" s="339">
        <f t="shared" si="45"/>
        <v>0</v>
      </c>
      <c r="I615" s="343" t="e">
        <f t="shared" si="44"/>
        <v>#DIV/0!</v>
      </c>
      <c r="J615" s="332"/>
    </row>
    <row r="616" spans="1:10" ht="50.25" hidden="1" customHeight="1" x14ac:dyDescent="0.25">
      <c r="A616" s="31" t="s">
        <v>1274</v>
      </c>
      <c r="B616" s="336">
        <v>906</v>
      </c>
      <c r="C616" s="338" t="s">
        <v>280</v>
      </c>
      <c r="D616" s="338" t="s">
        <v>134</v>
      </c>
      <c r="E616" s="338" t="s">
        <v>1026</v>
      </c>
      <c r="F616" s="338"/>
      <c r="G616" s="343">
        <f t="shared" si="45"/>
        <v>0</v>
      </c>
      <c r="H616" s="343">
        <f t="shared" si="45"/>
        <v>0</v>
      </c>
      <c r="I616" s="343" t="e">
        <f t="shared" si="44"/>
        <v>#DIV/0!</v>
      </c>
    </row>
    <row r="617" spans="1:10" ht="42" hidden="1" customHeight="1" x14ac:dyDescent="0.25">
      <c r="A617" s="31" t="s">
        <v>288</v>
      </c>
      <c r="B617" s="336">
        <v>906</v>
      </c>
      <c r="C617" s="338" t="s">
        <v>280</v>
      </c>
      <c r="D617" s="338" t="s">
        <v>134</v>
      </c>
      <c r="E617" s="338" t="s">
        <v>1026</v>
      </c>
      <c r="F617" s="338" t="s">
        <v>289</v>
      </c>
      <c r="G617" s="343">
        <f t="shared" si="45"/>
        <v>0</v>
      </c>
      <c r="H617" s="343">
        <f t="shared" si="45"/>
        <v>0</v>
      </c>
      <c r="I617" s="343" t="e">
        <f t="shared" si="44"/>
        <v>#DIV/0!</v>
      </c>
    </row>
    <row r="618" spans="1:10" ht="16.5" hidden="1" customHeight="1" x14ac:dyDescent="0.25">
      <c r="A618" s="31" t="s">
        <v>290</v>
      </c>
      <c r="B618" s="336">
        <v>906</v>
      </c>
      <c r="C618" s="338" t="s">
        <v>280</v>
      </c>
      <c r="D618" s="338" t="s">
        <v>134</v>
      </c>
      <c r="E618" s="338" t="s">
        <v>1026</v>
      </c>
      <c r="F618" s="338" t="s">
        <v>291</v>
      </c>
      <c r="G618" s="343">
        <v>0</v>
      </c>
      <c r="H618" s="343">
        <v>0</v>
      </c>
      <c r="I618" s="343" t="e">
        <f t="shared" si="44"/>
        <v>#DIV/0!</v>
      </c>
    </row>
    <row r="619" spans="1:10" ht="46.5" customHeight="1" x14ac:dyDescent="0.25">
      <c r="A619" s="41" t="s">
        <v>1372</v>
      </c>
      <c r="B619" s="337">
        <v>906</v>
      </c>
      <c r="C619" s="341" t="s">
        <v>280</v>
      </c>
      <c r="D619" s="341" t="s">
        <v>134</v>
      </c>
      <c r="E619" s="341" t="s">
        <v>728</v>
      </c>
      <c r="F619" s="235"/>
      <c r="G619" s="339">
        <f>G621</f>
        <v>464.3</v>
      </c>
      <c r="H619" s="339">
        <f>H621</f>
        <v>247.3</v>
      </c>
      <c r="I619" s="339">
        <f t="shared" si="44"/>
        <v>53.262976523799267</v>
      </c>
    </row>
    <row r="620" spans="1:10" s="218" customFormat="1" ht="46.5" customHeight="1" x14ac:dyDescent="0.25">
      <c r="A620" s="41" t="s">
        <v>949</v>
      </c>
      <c r="B620" s="337">
        <v>906</v>
      </c>
      <c r="C620" s="341" t="s">
        <v>280</v>
      </c>
      <c r="D620" s="341" t="s">
        <v>134</v>
      </c>
      <c r="E620" s="341" t="s">
        <v>947</v>
      </c>
      <c r="F620" s="235"/>
      <c r="G620" s="339">
        <f t="shared" ref="G620:H622" si="46">G621</f>
        <v>464.3</v>
      </c>
      <c r="H620" s="339">
        <f t="shared" si="46"/>
        <v>247.3</v>
      </c>
      <c r="I620" s="339">
        <f t="shared" si="44"/>
        <v>53.262976523799267</v>
      </c>
      <c r="J620" s="332"/>
    </row>
    <row r="621" spans="1:10" ht="36" customHeight="1" x14ac:dyDescent="0.25">
      <c r="A621" s="99" t="s">
        <v>803</v>
      </c>
      <c r="B621" s="336">
        <v>906</v>
      </c>
      <c r="C621" s="338" t="s">
        <v>280</v>
      </c>
      <c r="D621" s="338" t="s">
        <v>134</v>
      </c>
      <c r="E621" s="338" t="s">
        <v>1027</v>
      </c>
      <c r="F621" s="32"/>
      <c r="G621" s="343">
        <f t="shared" si="46"/>
        <v>464.3</v>
      </c>
      <c r="H621" s="343">
        <f t="shared" si="46"/>
        <v>247.3</v>
      </c>
      <c r="I621" s="343">
        <f t="shared" si="44"/>
        <v>53.262976523799267</v>
      </c>
    </row>
    <row r="622" spans="1:10" ht="35.450000000000003" customHeight="1" x14ac:dyDescent="0.25">
      <c r="A622" s="345" t="s">
        <v>288</v>
      </c>
      <c r="B622" s="336">
        <v>906</v>
      </c>
      <c r="C622" s="338" t="s">
        <v>280</v>
      </c>
      <c r="D622" s="338" t="s">
        <v>134</v>
      </c>
      <c r="E622" s="338" t="s">
        <v>1027</v>
      </c>
      <c r="F622" s="32" t="s">
        <v>289</v>
      </c>
      <c r="G622" s="343">
        <f t="shared" si="46"/>
        <v>464.3</v>
      </c>
      <c r="H622" s="343">
        <f t="shared" si="46"/>
        <v>247.3</v>
      </c>
      <c r="I622" s="343">
        <f t="shared" si="44"/>
        <v>53.262976523799267</v>
      </c>
    </row>
    <row r="623" spans="1:10" ht="15.75" customHeight="1" x14ac:dyDescent="0.25">
      <c r="A623" s="192" t="s">
        <v>290</v>
      </c>
      <c r="B623" s="336">
        <v>906</v>
      </c>
      <c r="C623" s="338" t="s">
        <v>280</v>
      </c>
      <c r="D623" s="338" t="s">
        <v>134</v>
      </c>
      <c r="E623" s="338" t="s">
        <v>1027</v>
      </c>
      <c r="F623" s="32" t="s">
        <v>291</v>
      </c>
      <c r="G623" s="343">
        <v>464.3</v>
      </c>
      <c r="H623" s="343">
        <v>247.3</v>
      </c>
      <c r="I623" s="343">
        <f t="shared" si="44"/>
        <v>53.262976523799267</v>
      </c>
    </row>
    <row r="624" spans="1:10" ht="15.75" x14ac:dyDescent="0.25">
      <c r="A624" s="340" t="s">
        <v>441</v>
      </c>
      <c r="B624" s="337">
        <v>906</v>
      </c>
      <c r="C624" s="341" t="s">
        <v>280</v>
      </c>
      <c r="D624" s="341" t="s">
        <v>229</v>
      </c>
      <c r="E624" s="341"/>
      <c r="F624" s="341"/>
      <c r="G624" s="339">
        <f>G625+G708+G713</f>
        <v>192305.78899999999</v>
      </c>
      <c r="H624" s="339">
        <f>H625+H708+H713</f>
        <v>87193.530000000013</v>
      </c>
      <c r="I624" s="339">
        <f t="shared" si="44"/>
        <v>45.341084349780033</v>
      </c>
    </row>
    <row r="625" spans="1:10" ht="50.25" customHeight="1" x14ac:dyDescent="0.25">
      <c r="A625" s="340" t="s">
        <v>442</v>
      </c>
      <c r="B625" s="337">
        <v>906</v>
      </c>
      <c r="C625" s="341" t="s">
        <v>280</v>
      </c>
      <c r="D625" s="341" t="s">
        <v>229</v>
      </c>
      <c r="E625" s="341" t="s">
        <v>422</v>
      </c>
      <c r="F625" s="341"/>
      <c r="G625" s="339">
        <f>G626+G659</f>
        <v>191432.489</v>
      </c>
      <c r="H625" s="339">
        <f>H626+H659</f>
        <v>86756.73000000001</v>
      </c>
      <c r="I625" s="339">
        <f t="shared" si="44"/>
        <v>45.31975238539578</v>
      </c>
    </row>
    <row r="626" spans="1:10" ht="37.5" customHeight="1" x14ac:dyDescent="0.25">
      <c r="A626" s="340" t="s">
        <v>423</v>
      </c>
      <c r="B626" s="337">
        <v>906</v>
      </c>
      <c r="C626" s="341" t="s">
        <v>280</v>
      </c>
      <c r="D626" s="341" t="s">
        <v>229</v>
      </c>
      <c r="E626" s="341" t="s">
        <v>424</v>
      </c>
      <c r="F626" s="341"/>
      <c r="G626" s="339">
        <f>G627+G637</f>
        <v>180901.6</v>
      </c>
      <c r="H626" s="339">
        <f>H627+H637</f>
        <v>83132.66</v>
      </c>
      <c r="I626" s="339">
        <f t="shared" si="44"/>
        <v>45.954629478125128</v>
      </c>
    </row>
    <row r="627" spans="1:10" s="218" customFormat="1" ht="37.5" customHeight="1" x14ac:dyDescent="0.25">
      <c r="A627" s="340" t="s">
        <v>1028</v>
      </c>
      <c r="B627" s="337">
        <v>906</v>
      </c>
      <c r="C627" s="341" t="s">
        <v>280</v>
      </c>
      <c r="D627" s="341" t="s">
        <v>229</v>
      </c>
      <c r="E627" s="341" t="s">
        <v>1006</v>
      </c>
      <c r="F627" s="341"/>
      <c r="G627" s="339">
        <f>G628+G631+G634</f>
        <v>27339</v>
      </c>
      <c r="H627" s="339">
        <f>H628+H631+H634</f>
        <v>6777.3</v>
      </c>
      <c r="I627" s="339">
        <f t="shared" si="44"/>
        <v>24.789860638648086</v>
      </c>
      <c r="J627" s="332"/>
    </row>
    <row r="628" spans="1:10" ht="47.25" x14ac:dyDescent="0.25">
      <c r="A628" s="342" t="s">
        <v>1458</v>
      </c>
      <c r="B628" s="336">
        <v>906</v>
      </c>
      <c r="C628" s="338" t="s">
        <v>280</v>
      </c>
      <c r="D628" s="338" t="s">
        <v>229</v>
      </c>
      <c r="E628" s="338" t="s">
        <v>1065</v>
      </c>
      <c r="F628" s="338"/>
      <c r="G628" s="343">
        <f>G629</f>
        <v>9301.4000000000015</v>
      </c>
      <c r="H628" s="343">
        <f>H629</f>
        <v>5422.8</v>
      </c>
      <c r="I628" s="343">
        <f t="shared" si="44"/>
        <v>58.300900939643483</v>
      </c>
    </row>
    <row r="629" spans="1:10" ht="32.25" customHeight="1" x14ac:dyDescent="0.25">
      <c r="A629" s="342" t="s">
        <v>288</v>
      </c>
      <c r="B629" s="336">
        <v>906</v>
      </c>
      <c r="C629" s="338" t="s">
        <v>280</v>
      </c>
      <c r="D629" s="338" t="s">
        <v>229</v>
      </c>
      <c r="E629" s="338" t="s">
        <v>1065</v>
      </c>
      <c r="F629" s="338" t="s">
        <v>289</v>
      </c>
      <c r="G629" s="343">
        <f>G630</f>
        <v>9301.4000000000015</v>
      </c>
      <c r="H629" s="343">
        <f>H630</f>
        <v>5422.8</v>
      </c>
      <c r="I629" s="343">
        <f t="shared" si="44"/>
        <v>58.300900939643483</v>
      </c>
    </row>
    <row r="630" spans="1:10" ht="15.75" x14ac:dyDescent="0.25">
      <c r="A630" s="342" t="s">
        <v>290</v>
      </c>
      <c r="B630" s="336">
        <v>906</v>
      </c>
      <c r="C630" s="338" t="s">
        <v>280</v>
      </c>
      <c r="D630" s="338" t="s">
        <v>229</v>
      </c>
      <c r="E630" s="338" t="s">
        <v>1065</v>
      </c>
      <c r="F630" s="338" t="s">
        <v>291</v>
      </c>
      <c r="G630" s="344">
        <f>29802.4+0.6-20027.6-10-464</f>
        <v>9301.4000000000015</v>
      </c>
      <c r="H630" s="344">
        <v>5422.8</v>
      </c>
      <c r="I630" s="343">
        <f t="shared" si="44"/>
        <v>58.300900939643483</v>
      </c>
    </row>
    <row r="631" spans="1:10" s="218" customFormat="1" ht="47.25" x14ac:dyDescent="0.25">
      <c r="A631" s="342" t="s">
        <v>1459</v>
      </c>
      <c r="B631" s="336">
        <v>906</v>
      </c>
      <c r="C631" s="338" t="s">
        <v>280</v>
      </c>
      <c r="D631" s="338" t="s">
        <v>229</v>
      </c>
      <c r="E631" s="338" t="s">
        <v>1066</v>
      </c>
      <c r="F631" s="338"/>
      <c r="G631" s="343">
        <f t="shared" ref="G631:H632" si="47">G632</f>
        <v>11361.7</v>
      </c>
      <c r="H631" s="343">
        <f t="shared" si="47"/>
        <v>30.7</v>
      </c>
      <c r="I631" s="343">
        <f t="shared" si="44"/>
        <v>0.27020604310974583</v>
      </c>
      <c r="J631" s="332"/>
    </row>
    <row r="632" spans="1:10" s="218" customFormat="1" ht="31.5" x14ac:dyDescent="0.25">
      <c r="A632" s="342" t="s">
        <v>288</v>
      </c>
      <c r="B632" s="336">
        <v>906</v>
      </c>
      <c r="C632" s="338" t="s">
        <v>280</v>
      </c>
      <c r="D632" s="338" t="s">
        <v>229</v>
      </c>
      <c r="E632" s="338" t="s">
        <v>1066</v>
      </c>
      <c r="F632" s="338" t="s">
        <v>289</v>
      </c>
      <c r="G632" s="343">
        <f t="shared" si="47"/>
        <v>11361.7</v>
      </c>
      <c r="H632" s="343">
        <f t="shared" si="47"/>
        <v>30.7</v>
      </c>
      <c r="I632" s="343">
        <f t="shared" si="44"/>
        <v>0.27020604310974583</v>
      </c>
      <c r="J632" s="332"/>
    </row>
    <row r="633" spans="1:10" s="218" customFormat="1" ht="15.75" x14ac:dyDescent="0.25">
      <c r="A633" s="342" t="s">
        <v>290</v>
      </c>
      <c r="B633" s="336">
        <v>906</v>
      </c>
      <c r="C633" s="338" t="s">
        <v>280</v>
      </c>
      <c r="D633" s="338" t="s">
        <v>229</v>
      </c>
      <c r="E633" s="338" t="s">
        <v>1066</v>
      </c>
      <c r="F633" s="338" t="s">
        <v>291</v>
      </c>
      <c r="G633" s="344">
        <f>12351.7-990</f>
        <v>11361.7</v>
      </c>
      <c r="H633" s="344">
        <v>30.7</v>
      </c>
      <c r="I633" s="343">
        <f t="shared" si="44"/>
        <v>0.27020604310974583</v>
      </c>
      <c r="J633" s="332"/>
    </row>
    <row r="634" spans="1:10" s="218" customFormat="1" ht="47.25" x14ac:dyDescent="0.25">
      <c r="A634" s="342" t="s">
        <v>1460</v>
      </c>
      <c r="B634" s="336">
        <v>906</v>
      </c>
      <c r="C634" s="338" t="s">
        <v>280</v>
      </c>
      <c r="D634" s="338" t="s">
        <v>229</v>
      </c>
      <c r="E634" s="338" t="s">
        <v>1067</v>
      </c>
      <c r="F634" s="338"/>
      <c r="G634" s="343">
        <f t="shared" ref="G634:H635" si="48">G635</f>
        <v>6675.9</v>
      </c>
      <c r="H634" s="343">
        <f t="shared" si="48"/>
        <v>1323.8</v>
      </c>
      <c r="I634" s="343">
        <f t="shared" si="44"/>
        <v>19.829536092511869</v>
      </c>
      <c r="J634" s="332"/>
    </row>
    <row r="635" spans="1:10" s="218" customFormat="1" ht="31.5" x14ac:dyDescent="0.25">
      <c r="A635" s="342" t="s">
        <v>288</v>
      </c>
      <c r="B635" s="336">
        <v>906</v>
      </c>
      <c r="C635" s="338" t="s">
        <v>280</v>
      </c>
      <c r="D635" s="338" t="s">
        <v>229</v>
      </c>
      <c r="E635" s="338" t="s">
        <v>1067</v>
      </c>
      <c r="F635" s="338" t="s">
        <v>289</v>
      </c>
      <c r="G635" s="343">
        <f t="shared" si="48"/>
        <v>6675.9</v>
      </c>
      <c r="H635" s="343">
        <f t="shared" si="48"/>
        <v>1323.8</v>
      </c>
      <c r="I635" s="343">
        <f t="shared" si="44"/>
        <v>19.829536092511869</v>
      </c>
      <c r="J635" s="332"/>
    </row>
    <row r="636" spans="1:10" s="218" customFormat="1" ht="15.75" x14ac:dyDescent="0.25">
      <c r="A636" s="342" t="s">
        <v>290</v>
      </c>
      <c r="B636" s="336">
        <v>906</v>
      </c>
      <c r="C636" s="338" t="s">
        <v>280</v>
      </c>
      <c r="D636" s="338" t="s">
        <v>229</v>
      </c>
      <c r="E636" s="338" t="s">
        <v>1067</v>
      </c>
      <c r="F636" s="338" t="s">
        <v>291</v>
      </c>
      <c r="G636" s="344">
        <f>6675.9</f>
        <v>6675.9</v>
      </c>
      <c r="H636" s="344">
        <v>1323.8</v>
      </c>
      <c r="I636" s="343">
        <f t="shared" si="44"/>
        <v>19.829536092511869</v>
      </c>
      <c r="J636" s="332"/>
    </row>
    <row r="637" spans="1:10" s="218" customFormat="1" ht="39.200000000000003" customHeight="1" x14ac:dyDescent="0.25">
      <c r="A637" s="340" t="s">
        <v>971</v>
      </c>
      <c r="B637" s="337">
        <v>906</v>
      </c>
      <c r="C637" s="341" t="s">
        <v>280</v>
      </c>
      <c r="D637" s="341" t="s">
        <v>229</v>
      </c>
      <c r="E637" s="341" t="s">
        <v>1021</v>
      </c>
      <c r="F637" s="341"/>
      <c r="G637" s="44">
        <f>G644+G647+G650+G653+G656+G641+G638</f>
        <v>153562.6</v>
      </c>
      <c r="H637" s="44">
        <f>H644+H647+H650+H653+H656+H641+H638</f>
        <v>76355.360000000001</v>
      </c>
      <c r="I637" s="339">
        <f t="shared" si="44"/>
        <v>49.722627775252562</v>
      </c>
      <c r="J637" s="332"/>
    </row>
    <row r="638" spans="1:10" s="220" customFormat="1" ht="49.7" customHeight="1" x14ac:dyDescent="0.25">
      <c r="A638" s="342" t="s">
        <v>1527</v>
      </c>
      <c r="B638" s="336">
        <v>906</v>
      </c>
      <c r="C638" s="338" t="s">
        <v>280</v>
      </c>
      <c r="D638" s="338" t="s">
        <v>229</v>
      </c>
      <c r="E638" s="338" t="s">
        <v>1528</v>
      </c>
      <c r="F638" s="338"/>
      <c r="G638" s="344">
        <f>G639</f>
        <v>1125.9000000000001</v>
      </c>
      <c r="H638" s="344">
        <f>H639</f>
        <v>0</v>
      </c>
      <c r="I638" s="343">
        <f t="shared" si="44"/>
        <v>0</v>
      </c>
    </row>
    <row r="639" spans="1:10" s="220" customFormat="1" ht="44.45" customHeight="1" x14ac:dyDescent="0.25">
      <c r="A639" s="342" t="s">
        <v>288</v>
      </c>
      <c r="B639" s="336">
        <v>906</v>
      </c>
      <c r="C639" s="338" t="s">
        <v>280</v>
      </c>
      <c r="D639" s="338" t="s">
        <v>229</v>
      </c>
      <c r="E639" s="338" t="s">
        <v>1528</v>
      </c>
      <c r="F639" s="338" t="s">
        <v>289</v>
      </c>
      <c r="G639" s="344">
        <f>G640</f>
        <v>1125.9000000000001</v>
      </c>
      <c r="H639" s="344">
        <f>H640</f>
        <v>0</v>
      </c>
      <c r="I639" s="343">
        <f t="shared" si="44"/>
        <v>0</v>
      </c>
    </row>
    <row r="640" spans="1:10" s="220" customFormat="1" ht="35.450000000000003" customHeight="1" x14ac:dyDescent="0.25">
      <c r="A640" s="342" t="s">
        <v>290</v>
      </c>
      <c r="B640" s="336">
        <v>906</v>
      </c>
      <c r="C640" s="338" t="s">
        <v>280</v>
      </c>
      <c r="D640" s="338" t="s">
        <v>229</v>
      </c>
      <c r="E640" s="338" t="s">
        <v>1528</v>
      </c>
      <c r="F640" s="338" t="s">
        <v>291</v>
      </c>
      <c r="G640" s="344">
        <v>1125.9000000000001</v>
      </c>
      <c r="H640" s="344">
        <v>0</v>
      </c>
      <c r="I640" s="343">
        <f t="shared" si="44"/>
        <v>0</v>
      </c>
    </row>
    <row r="641" spans="1:14" s="332" customFormat="1" ht="78.75" x14ac:dyDescent="0.25">
      <c r="A641" s="31" t="s">
        <v>309</v>
      </c>
      <c r="B641" s="336">
        <v>906</v>
      </c>
      <c r="C641" s="338" t="s">
        <v>280</v>
      </c>
      <c r="D641" s="338" t="s">
        <v>229</v>
      </c>
      <c r="E641" s="338" t="s">
        <v>1519</v>
      </c>
      <c r="F641" s="338"/>
      <c r="G641" s="344">
        <f>G642</f>
        <v>3821</v>
      </c>
      <c r="H641" s="344">
        <f>H642</f>
        <v>740.7</v>
      </c>
      <c r="I641" s="343">
        <f t="shared" si="44"/>
        <v>19.384977754514527</v>
      </c>
    </row>
    <row r="642" spans="1:14" s="332" customFormat="1" ht="31.5" x14ac:dyDescent="0.25">
      <c r="A642" s="342" t="s">
        <v>288</v>
      </c>
      <c r="B642" s="336">
        <v>906</v>
      </c>
      <c r="C642" s="338" t="s">
        <v>280</v>
      </c>
      <c r="D642" s="338" t="s">
        <v>229</v>
      </c>
      <c r="E642" s="338" t="s">
        <v>1519</v>
      </c>
      <c r="F642" s="338" t="s">
        <v>289</v>
      </c>
      <c r="G642" s="344">
        <f>G643</f>
        <v>3821</v>
      </c>
      <c r="H642" s="344">
        <f>H643</f>
        <v>740.7</v>
      </c>
      <c r="I642" s="343">
        <f t="shared" si="44"/>
        <v>19.384977754514527</v>
      </c>
    </row>
    <row r="643" spans="1:14" s="332" customFormat="1" ht="15.75" x14ac:dyDescent="0.25">
      <c r="A643" s="342" t="s">
        <v>290</v>
      </c>
      <c r="B643" s="336">
        <v>906</v>
      </c>
      <c r="C643" s="338" t="s">
        <v>280</v>
      </c>
      <c r="D643" s="338" t="s">
        <v>229</v>
      </c>
      <c r="E643" s="338" t="s">
        <v>1519</v>
      </c>
      <c r="F643" s="338" t="s">
        <v>291</v>
      </c>
      <c r="G643" s="344">
        <v>3821</v>
      </c>
      <c r="H643" s="344">
        <v>740.7</v>
      </c>
      <c r="I643" s="343">
        <f t="shared" si="44"/>
        <v>19.384977754514527</v>
      </c>
    </row>
    <row r="644" spans="1:14" s="218" customFormat="1" ht="63" x14ac:dyDescent="0.25">
      <c r="A644" s="31" t="s">
        <v>476</v>
      </c>
      <c r="B644" s="336">
        <v>906</v>
      </c>
      <c r="C644" s="338" t="s">
        <v>280</v>
      </c>
      <c r="D644" s="338" t="s">
        <v>229</v>
      </c>
      <c r="E644" s="338" t="s">
        <v>1049</v>
      </c>
      <c r="F644" s="338"/>
      <c r="G644" s="343">
        <f>G645</f>
        <v>143160</v>
      </c>
      <c r="H644" s="343">
        <f>H645</f>
        <v>72335.460000000006</v>
      </c>
      <c r="I644" s="343">
        <f t="shared" si="44"/>
        <v>50.527703269069576</v>
      </c>
      <c r="J644" s="332"/>
    </row>
    <row r="645" spans="1:14" s="218" customFormat="1" ht="31.5" x14ac:dyDescent="0.25">
      <c r="A645" s="342" t="s">
        <v>288</v>
      </c>
      <c r="B645" s="336">
        <v>906</v>
      </c>
      <c r="C645" s="338" t="s">
        <v>280</v>
      </c>
      <c r="D645" s="338" t="s">
        <v>229</v>
      </c>
      <c r="E645" s="338" t="s">
        <v>1049</v>
      </c>
      <c r="F645" s="338" t="s">
        <v>289</v>
      </c>
      <c r="G645" s="343">
        <f>G646</f>
        <v>143160</v>
      </c>
      <c r="H645" s="343">
        <f>H646</f>
        <v>72335.460000000006</v>
      </c>
      <c r="I645" s="343">
        <f t="shared" si="44"/>
        <v>50.527703269069576</v>
      </c>
      <c r="J645" s="332"/>
    </row>
    <row r="646" spans="1:14" s="218" customFormat="1" ht="15.75" x14ac:dyDescent="0.25">
      <c r="A646" s="342" t="s">
        <v>290</v>
      </c>
      <c r="B646" s="336">
        <v>906</v>
      </c>
      <c r="C646" s="338" t="s">
        <v>280</v>
      </c>
      <c r="D646" s="338" t="s">
        <v>229</v>
      </c>
      <c r="E646" s="338" t="s">
        <v>1049</v>
      </c>
      <c r="F646" s="338" t="s">
        <v>291</v>
      </c>
      <c r="G646" s="344">
        <v>143160</v>
      </c>
      <c r="H646" s="344">
        <v>72335.460000000006</v>
      </c>
      <c r="I646" s="343">
        <f t="shared" si="44"/>
        <v>50.527703269069576</v>
      </c>
      <c r="J646" s="332"/>
    </row>
    <row r="647" spans="1:14" s="218" customFormat="1" ht="63" x14ac:dyDescent="0.25">
      <c r="A647" s="31" t="s">
        <v>305</v>
      </c>
      <c r="B647" s="336">
        <v>906</v>
      </c>
      <c r="C647" s="338" t="s">
        <v>280</v>
      </c>
      <c r="D647" s="338" t="s">
        <v>229</v>
      </c>
      <c r="E647" s="338" t="s">
        <v>1020</v>
      </c>
      <c r="F647" s="338"/>
      <c r="G647" s="343">
        <f>G648</f>
        <v>1245.5999999999999</v>
      </c>
      <c r="H647" s="343">
        <f>H648</f>
        <v>523.6</v>
      </c>
      <c r="I647" s="343">
        <f t="shared" si="44"/>
        <v>42.035966602440595</v>
      </c>
      <c r="J647" s="332"/>
    </row>
    <row r="648" spans="1:14" s="218" customFormat="1" ht="31.5" x14ac:dyDescent="0.25">
      <c r="A648" s="342" t="s">
        <v>288</v>
      </c>
      <c r="B648" s="336">
        <v>906</v>
      </c>
      <c r="C648" s="338" t="s">
        <v>280</v>
      </c>
      <c r="D648" s="338" t="s">
        <v>229</v>
      </c>
      <c r="E648" s="338" t="s">
        <v>1020</v>
      </c>
      <c r="F648" s="338" t="s">
        <v>289</v>
      </c>
      <c r="G648" s="343">
        <f>G649</f>
        <v>1245.5999999999999</v>
      </c>
      <c r="H648" s="343">
        <f>H649</f>
        <v>523.6</v>
      </c>
      <c r="I648" s="343">
        <f t="shared" si="44"/>
        <v>42.035966602440595</v>
      </c>
      <c r="J648" s="332"/>
    </row>
    <row r="649" spans="1:14" s="218" customFormat="1" ht="15.75" x14ac:dyDescent="0.25">
      <c r="A649" s="342" t="s">
        <v>290</v>
      </c>
      <c r="B649" s="336">
        <v>906</v>
      </c>
      <c r="C649" s="338" t="s">
        <v>280</v>
      </c>
      <c r="D649" s="338" t="s">
        <v>229</v>
      </c>
      <c r="E649" s="338" t="s">
        <v>1020</v>
      </c>
      <c r="F649" s="338" t="s">
        <v>291</v>
      </c>
      <c r="G649" s="344">
        <f>1245.61-0.01</f>
        <v>1245.5999999999999</v>
      </c>
      <c r="H649" s="344">
        <v>523.6</v>
      </c>
      <c r="I649" s="343">
        <f t="shared" si="44"/>
        <v>42.035966602440595</v>
      </c>
      <c r="J649" s="332"/>
    </row>
    <row r="650" spans="1:14" s="218" customFormat="1" ht="63" x14ac:dyDescent="0.25">
      <c r="A650" s="31" t="s">
        <v>307</v>
      </c>
      <c r="B650" s="336">
        <v>906</v>
      </c>
      <c r="C650" s="338" t="s">
        <v>280</v>
      </c>
      <c r="D650" s="338" t="s">
        <v>229</v>
      </c>
      <c r="E650" s="338" t="s">
        <v>1023</v>
      </c>
      <c r="F650" s="338"/>
      <c r="G650" s="343">
        <f>G651</f>
        <v>2266.6999999999998</v>
      </c>
      <c r="H650" s="343">
        <f>H651</f>
        <v>1218.9000000000001</v>
      </c>
      <c r="I650" s="343">
        <f t="shared" si="44"/>
        <v>53.774209202805842</v>
      </c>
      <c r="J650" s="332"/>
      <c r="L650" s="246"/>
      <c r="M650" s="246"/>
      <c r="N650" s="246"/>
    </row>
    <row r="651" spans="1:14" s="218" customFormat="1" ht="31.5" x14ac:dyDescent="0.25">
      <c r="A651" s="342" t="s">
        <v>288</v>
      </c>
      <c r="B651" s="336">
        <v>906</v>
      </c>
      <c r="C651" s="338" t="s">
        <v>280</v>
      </c>
      <c r="D651" s="338" t="s">
        <v>229</v>
      </c>
      <c r="E651" s="338" t="s">
        <v>1023</v>
      </c>
      <c r="F651" s="338" t="s">
        <v>289</v>
      </c>
      <c r="G651" s="343">
        <f>G652</f>
        <v>2266.6999999999998</v>
      </c>
      <c r="H651" s="343">
        <f>H652</f>
        <v>1218.9000000000001</v>
      </c>
      <c r="I651" s="343">
        <f t="shared" ref="I651:I714" si="49">H651/G651*100</f>
        <v>53.774209202805842</v>
      </c>
      <c r="J651" s="332"/>
    </row>
    <row r="652" spans="1:14" s="218" customFormat="1" ht="15.75" x14ac:dyDescent="0.25">
      <c r="A652" s="342" t="s">
        <v>290</v>
      </c>
      <c r="B652" s="336">
        <v>906</v>
      </c>
      <c r="C652" s="338" t="s">
        <v>280</v>
      </c>
      <c r="D652" s="338" t="s">
        <v>229</v>
      </c>
      <c r="E652" s="338" t="s">
        <v>1023</v>
      </c>
      <c r="F652" s="338" t="s">
        <v>291</v>
      </c>
      <c r="G652" s="344">
        <f>2266.72-0.02</f>
        <v>2266.6999999999998</v>
      </c>
      <c r="H652" s="344">
        <v>1218.9000000000001</v>
      </c>
      <c r="I652" s="343">
        <f t="shared" si="49"/>
        <v>53.774209202805842</v>
      </c>
      <c r="J652" s="332"/>
    </row>
    <row r="653" spans="1:14" s="218" customFormat="1" ht="47.25" x14ac:dyDescent="0.25">
      <c r="A653" s="31" t="s">
        <v>478</v>
      </c>
      <c r="B653" s="336">
        <v>906</v>
      </c>
      <c r="C653" s="338" t="s">
        <v>280</v>
      </c>
      <c r="D653" s="338" t="s">
        <v>229</v>
      </c>
      <c r="E653" s="338" t="s">
        <v>1050</v>
      </c>
      <c r="F653" s="338"/>
      <c r="G653" s="343">
        <f>G654</f>
        <v>923.4</v>
      </c>
      <c r="H653" s="343">
        <f>H654</f>
        <v>516.70000000000005</v>
      </c>
      <c r="I653" s="343">
        <f t="shared" si="49"/>
        <v>55.956248646307131</v>
      </c>
      <c r="J653" s="332"/>
    </row>
    <row r="654" spans="1:14" s="218" customFormat="1" ht="31.5" x14ac:dyDescent="0.25">
      <c r="A654" s="342" t="s">
        <v>288</v>
      </c>
      <c r="B654" s="336">
        <v>906</v>
      </c>
      <c r="C654" s="338" t="s">
        <v>280</v>
      </c>
      <c r="D654" s="338" t="s">
        <v>229</v>
      </c>
      <c r="E654" s="338" t="s">
        <v>1050</v>
      </c>
      <c r="F654" s="338" t="s">
        <v>289</v>
      </c>
      <c r="G654" s="343">
        <f>G655</f>
        <v>923.4</v>
      </c>
      <c r="H654" s="343">
        <f>H655</f>
        <v>516.70000000000005</v>
      </c>
      <c r="I654" s="343">
        <f t="shared" si="49"/>
        <v>55.956248646307131</v>
      </c>
      <c r="J654" s="332"/>
    </row>
    <row r="655" spans="1:14" s="218" customFormat="1" ht="15.75" x14ac:dyDescent="0.25">
      <c r="A655" s="342" t="s">
        <v>290</v>
      </c>
      <c r="B655" s="336">
        <v>906</v>
      </c>
      <c r="C655" s="338" t="s">
        <v>280</v>
      </c>
      <c r="D655" s="338" t="s">
        <v>229</v>
      </c>
      <c r="E655" s="338" t="s">
        <v>1050</v>
      </c>
      <c r="F655" s="338" t="s">
        <v>291</v>
      </c>
      <c r="G655" s="344">
        <v>923.4</v>
      </c>
      <c r="H655" s="344">
        <v>516.70000000000005</v>
      </c>
      <c r="I655" s="343">
        <f t="shared" si="49"/>
        <v>55.956248646307131</v>
      </c>
      <c r="J655" s="332"/>
    </row>
    <row r="656" spans="1:14" s="218" customFormat="1" ht="78.75" x14ac:dyDescent="0.25">
      <c r="A656" s="31" t="s">
        <v>309</v>
      </c>
      <c r="B656" s="336">
        <v>906</v>
      </c>
      <c r="C656" s="338" t="s">
        <v>280</v>
      </c>
      <c r="D656" s="338" t="s">
        <v>229</v>
      </c>
      <c r="E656" s="338" t="s">
        <v>1024</v>
      </c>
      <c r="F656" s="338"/>
      <c r="G656" s="343">
        <f>G657</f>
        <v>1019.9999999999991</v>
      </c>
      <c r="H656" s="343">
        <f>H657</f>
        <v>1020</v>
      </c>
      <c r="I656" s="343">
        <f t="shared" si="49"/>
        <v>100.00000000000009</v>
      </c>
      <c r="J656" s="332"/>
    </row>
    <row r="657" spans="1:10" s="218" customFormat="1" ht="31.5" x14ac:dyDescent="0.25">
      <c r="A657" s="342" t="s">
        <v>288</v>
      </c>
      <c r="B657" s="336">
        <v>906</v>
      </c>
      <c r="C657" s="338" t="s">
        <v>280</v>
      </c>
      <c r="D657" s="338" t="s">
        <v>229</v>
      </c>
      <c r="E657" s="338" t="s">
        <v>1024</v>
      </c>
      <c r="F657" s="338" t="s">
        <v>289</v>
      </c>
      <c r="G657" s="343">
        <f>G658</f>
        <v>1019.9999999999991</v>
      </c>
      <c r="H657" s="343">
        <f>H658</f>
        <v>1020</v>
      </c>
      <c r="I657" s="343">
        <f t="shared" si="49"/>
        <v>100.00000000000009</v>
      </c>
      <c r="J657" s="332"/>
    </row>
    <row r="658" spans="1:10" s="218" customFormat="1" ht="15.75" x14ac:dyDescent="0.25">
      <c r="A658" s="342" t="s">
        <v>290</v>
      </c>
      <c r="B658" s="336">
        <v>906</v>
      </c>
      <c r="C658" s="338" t="s">
        <v>280</v>
      </c>
      <c r="D658" s="338" t="s">
        <v>229</v>
      </c>
      <c r="E658" s="338" t="s">
        <v>1024</v>
      </c>
      <c r="F658" s="338" t="s">
        <v>291</v>
      </c>
      <c r="G658" s="344">
        <f>5020.23-179.18-0.05-3821</f>
        <v>1019.9999999999991</v>
      </c>
      <c r="H658" s="344">
        <v>1020</v>
      </c>
      <c r="I658" s="343">
        <f t="shared" si="49"/>
        <v>100.00000000000009</v>
      </c>
      <c r="J658" s="332"/>
    </row>
    <row r="659" spans="1:10" ht="36" customHeight="1" x14ac:dyDescent="0.25">
      <c r="A659" s="272" t="s">
        <v>446</v>
      </c>
      <c r="B659" s="337">
        <v>906</v>
      </c>
      <c r="C659" s="341" t="s">
        <v>280</v>
      </c>
      <c r="D659" s="341" t="s">
        <v>229</v>
      </c>
      <c r="E659" s="341" t="s">
        <v>447</v>
      </c>
      <c r="F659" s="341"/>
      <c r="G659" s="339">
        <f>G660+G673+G680+G687+G694+G701</f>
        <v>10530.888999999999</v>
      </c>
      <c r="H659" s="339">
        <f>H660+H673+H680+H687+H694+H701</f>
        <v>3624.0699999999997</v>
      </c>
      <c r="I659" s="339">
        <f t="shared" si="49"/>
        <v>34.413713789975375</v>
      </c>
    </row>
    <row r="660" spans="1:10" s="218" customFormat="1" ht="35.450000000000003" customHeight="1" x14ac:dyDescent="0.25">
      <c r="A660" s="340" t="s">
        <v>1029</v>
      </c>
      <c r="B660" s="275">
        <v>906</v>
      </c>
      <c r="C660" s="341" t="s">
        <v>280</v>
      </c>
      <c r="D660" s="341" t="s">
        <v>229</v>
      </c>
      <c r="E660" s="341" t="s">
        <v>1030</v>
      </c>
      <c r="F660" s="341"/>
      <c r="G660" s="339">
        <f>G661+G664+G667+G670</f>
        <v>749.33</v>
      </c>
      <c r="H660" s="339">
        <f>H661+H664+H667+H670</f>
        <v>585.79999999999995</v>
      </c>
      <c r="I660" s="339">
        <f t="shared" si="49"/>
        <v>78.176504343880524</v>
      </c>
      <c r="J660" s="332"/>
    </row>
    <row r="661" spans="1:10" s="218" customFormat="1" ht="35.450000000000003" hidden="1" customHeight="1" x14ac:dyDescent="0.25">
      <c r="A661" s="342" t="s">
        <v>456</v>
      </c>
      <c r="B661" s="37">
        <v>906</v>
      </c>
      <c r="C661" s="338" t="s">
        <v>280</v>
      </c>
      <c r="D661" s="338" t="s">
        <v>229</v>
      </c>
      <c r="E661" s="338" t="s">
        <v>1034</v>
      </c>
      <c r="F661" s="338"/>
      <c r="G661" s="343">
        <f>G662</f>
        <v>0</v>
      </c>
      <c r="H661" s="343">
        <f>H662</f>
        <v>0</v>
      </c>
      <c r="I661" s="343" t="e">
        <f t="shared" si="49"/>
        <v>#DIV/0!</v>
      </c>
      <c r="J661" s="332"/>
    </row>
    <row r="662" spans="1:10" s="218" customFormat="1" ht="39.75" hidden="1" customHeight="1" x14ac:dyDescent="0.25">
      <c r="A662" s="342" t="s">
        <v>288</v>
      </c>
      <c r="B662" s="37">
        <v>906</v>
      </c>
      <c r="C662" s="338" t="s">
        <v>280</v>
      </c>
      <c r="D662" s="338" t="s">
        <v>229</v>
      </c>
      <c r="E662" s="338" t="s">
        <v>1034</v>
      </c>
      <c r="F662" s="338" t="s">
        <v>289</v>
      </c>
      <c r="G662" s="343">
        <f>G663</f>
        <v>0</v>
      </c>
      <c r="H662" s="343">
        <f>H663</f>
        <v>0</v>
      </c>
      <c r="I662" s="343" t="e">
        <f t="shared" si="49"/>
        <v>#DIV/0!</v>
      </c>
      <c r="J662" s="332"/>
    </row>
    <row r="663" spans="1:10" s="218" customFormat="1" ht="18.75" hidden="1" customHeight="1" x14ac:dyDescent="0.25">
      <c r="A663" s="342" t="s">
        <v>290</v>
      </c>
      <c r="B663" s="37">
        <v>906</v>
      </c>
      <c r="C663" s="338" t="s">
        <v>280</v>
      </c>
      <c r="D663" s="338" t="s">
        <v>229</v>
      </c>
      <c r="E663" s="338" t="s">
        <v>1034</v>
      </c>
      <c r="F663" s="338" t="s">
        <v>291</v>
      </c>
      <c r="G663" s="343">
        <v>0</v>
      </c>
      <c r="H663" s="343">
        <v>0</v>
      </c>
      <c r="I663" s="343" t="e">
        <f t="shared" si="49"/>
        <v>#DIV/0!</v>
      </c>
      <c r="J663" s="332"/>
    </row>
    <row r="664" spans="1:10" s="218" customFormat="1" ht="41.25" hidden="1" customHeight="1" x14ac:dyDescent="0.25">
      <c r="A664" s="342" t="s">
        <v>294</v>
      </c>
      <c r="B664" s="37">
        <v>906</v>
      </c>
      <c r="C664" s="338" t="s">
        <v>280</v>
      </c>
      <c r="D664" s="338" t="s">
        <v>229</v>
      </c>
      <c r="E664" s="338" t="s">
        <v>1035</v>
      </c>
      <c r="F664" s="338"/>
      <c r="G664" s="343">
        <f>G665</f>
        <v>0</v>
      </c>
      <c r="H664" s="343">
        <f>H665</f>
        <v>0</v>
      </c>
      <c r="I664" s="343" t="e">
        <f t="shared" si="49"/>
        <v>#DIV/0!</v>
      </c>
      <c r="J664" s="332"/>
    </row>
    <row r="665" spans="1:10" s="218" customFormat="1" ht="33" hidden="1" customHeight="1" x14ac:dyDescent="0.25">
      <c r="A665" s="342" t="s">
        <v>288</v>
      </c>
      <c r="B665" s="37">
        <v>906</v>
      </c>
      <c r="C665" s="338" t="s">
        <v>280</v>
      </c>
      <c r="D665" s="338" t="s">
        <v>229</v>
      </c>
      <c r="E665" s="338" t="s">
        <v>1035</v>
      </c>
      <c r="F665" s="338" t="s">
        <v>289</v>
      </c>
      <c r="G665" s="343">
        <f>G666</f>
        <v>0</v>
      </c>
      <c r="H665" s="343">
        <f>H666</f>
        <v>0</v>
      </c>
      <c r="I665" s="343" t="e">
        <f t="shared" si="49"/>
        <v>#DIV/0!</v>
      </c>
      <c r="J665" s="332"/>
    </row>
    <row r="666" spans="1:10" s="218" customFormat="1" ht="18.75" hidden="1" customHeight="1" x14ac:dyDescent="0.25">
      <c r="A666" s="342" t="s">
        <v>290</v>
      </c>
      <c r="B666" s="37">
        <v>906</v>
      </c>
      <c r="C666" s="338" t="s">
        <v>280</v>
      </c>
      <c r="D666" s="338" t="s">
        <v>229</v>
      </c>
      <c r="E666" s="338" t="s">
        <v>1035</v>
      </c>
      <c r="F666" s="338" t="s">
        <v>291</v>
      </c>
      <c r="G666" s="343">
        <v>0</v>
      </c>
      <c r="H666" s="343">
        <v>0</v>
      </c>
      <c r="I666" s="343" t="e">
        <f t="shared" si="49"/>
        <v>#DIV/0!</v>
      </c>
      <c r="J666" s="332"/>
    </row>
    <row r="667" spans="1:10" s="218" customFormat="1" ht="31.7" customHeight="1" x14ac:dyDescent="0.25">
      <c r="A667" s="342" t="s">
        <v>296</v>
      </c>
      <c r="B667" s="37">
        <v>906</v>
      </c>
      <c r="C667" s="338" t="s">
        <v>280</v>
      </c>
      <c r="D667" s="338" t="s">
        <v>229</v>
      </c>
      <c r="E667" s="338" t="s">
        <v>1036</v>
      </c>
      <c r="F667" s="338"/>
      <c r="G667" s="343">
        <f>G668</f>
        <v>525.33000000000004</v>
      </c>
      <c r="H667" s="343">
        <f>H668</f>
        <v>464</v>
      </c>
      <c r="I667" s="343">
        <f t="shared" si="49"/>
        <v>88.325433537014817</v>
      </c>
      <c r="J667" s="332"/>
    </row>
    <row r="668" spans="1:10" s="218" customFormat="1" ht="29.25" customHeight="1" x14ac:dyDescent="0.25">
      <c r="A668" s="342" t="s">
        <v>288</v>
      </c>
      <c r="B668" s="37">
        <v>906</v>
      </c>
      <c r="C668" s="338" t="s">
        <v>280</v>
      </c>
      <c r="D668" s="338" t="s">
        <v>229</v>
      </c>
      <c r="E668" s="338" t="s">
        <v>1036</v>
      </c>
      <c r="F668" s="338" t="s">
        <v>289</v>
      </c>
      <c r="G668" s="343">
        <f>G669</f>
        <v>525.33000000000004</v>
      </c>
      <c r="H668" s="343">
        <f>H669</f>
        <v>464</v>
      </c>
      <c r="I668" s="343">
        <f t="shared" si="49"/>
        <v>88.325433537014817</v>
      </c>
      <c r="J668" s="332"/>
    </row>
    <row r="669" spans="1:10" s="218" customFormat="1" ht="18.75" customHeight="1" x14ac:dyDescent="0.25">
      <c r="A669" s="342" t="s">
        <v>290</v>
      </c>
      <c r="B669" s="37">
        <v>906</v>
      </c>
      <c r="C669" s="338" t="s">
        <v>280</v>
      </c>
      <c r="D669" s="338" t="s">
        <v>229</v>
      </c>
      <c r="E669" s="338" t="s">
        <v>1036</v>
      </c>
      <c r="F669" s="338" t="s">
        <v>291</v>
      </c>
      <c r="G669" s="343">
        <f>464+7+54.33</f>
        <v>525.33000000000004</v>
      </c>
      <c r="H669" s="343">
        <v>464</v>
      </c>
      <c r="I669" s="343">
        <f t="shared" si="49"/>
        <v>88.325433537014817</v>
      </c>
      <c r="J669" s="332"/>
    </row>
    <row r="670" spans="1:10" s="218" customFormat="1" ht="36" customHeight="1" x14ac:dyDescent="0.25">
      <c r="A670" s="342" t="s">
        <v>298</v>
      </c>
      <c r="B670" s="37">
        <v>906</v>
      </c>
      <c r="C670" s="338" t="s">
        <v>280</v>
      </c>
      <c r="D670" s="338" t="s">
        <v>229</v>
      </c>
      <c r="E670" s="338" t="s">
        <v>1037</v>
      </c>
      <c r="F670" s="338"/>
      <c r="G670" s="343">
        <f>G671</f>
        <v>224</v>
      </c>
      <c r="H670" s="343">
        <f>H671</f>
        <v>121.8</v>
      </c>
      <c r="I670" s="343">
        <f t="shared" si="49"/>
        <v>54.374999999999993</v>
      </c>
      <c r="J670" s="332"/>
    </row>
    <row r="671" spans="1:10" s="218" customFormat="1" ht="39.75" customHeight="1" x14ac:dyDescent="0.25">
      <c r="A671" s="342" t="s">
        <v>288</v>
      </c>
      <c r="B671" s="37">
        <v>906</v>
      </c>
      <c r="C671" s="338" t="s">
        <v>280</v>
      </c>
      <c r="D671" s="338" t="s">
        <v>229</v>
      </c>
      <c r="E671" s="338" t="s">
        <v>1037</v>
      </c>
      <c r="F671" s="338" t="s">
        <v>289</v>
      </c>
      <c r="G671" s="343">
        <f>G672</f>
        <v>224</v>
      </c>
      <c r="H671" s="343">
        <f>H672</f>
        <v>121.8</v>
      </c>
      <c r="I671" s="343">
        <f t="shared" si="49"/>
        <v>54.374999999999993</v>
      </c>
      <c r="J671" s="332"/>
    </row>
    <row r="672" spans="1:10" s="218" customFormat="1" ht="18.75" customHeight="1" x14ac:dyDescent="0.25">
      <c r="A672" s="342" t="s">
        <v>290</v>
      </c>
      <c r="B672" s="37">
        <v>906</v>
      </c>
      <c r="C672" s="338" t="s">
        <v>280</v>
      </c>
      <c r="D672" s="338" t="s">
        <v>229</v>
      </c>
      <c r="E672" s="338" t="s">
        <v>1037</v>
      </c>
      <c r="F672" s="338" t="s">
        <v>291</v>
      </c>
      <c r="G672" s="343">
        <f>127-72+72+97.2-0.2</f>
        <v>224</v>
      </c>
      <c r="H672" s="343">
        <v>121.8</v>
      </c>
      <c r="I672" s="343">
        <f t="shared" si="49"/>
        <v>54.374999999999993</v>
      </c>
      <c r="J672" s="332"/>
    </row>
    <row r="673" spans="1:10" s="218" customFormat="1" ht="33" customHeight="1" x14ac:dyDescent="0.25">
      <c r="A673" s="340" t="s">
        <v>1031</v>
      </c>
      <c r="B673" s="275">
        <v>906</v>
      </c>
      <c r="C673" s="341" t="s">
        <v>280</v>
      </c>
      <c r="D673" s="341" t="s">
        <v>229</v>
      </c>
      <c r="E673" s="341" t="s">
        <v>1032</v>
      </c>
      <c r="F673" s="341"/>
      <c r="G673" s="339">
        <f>G674+G677</f>
        <v>3865.2</v>
      </c>
      <c r="H673" s="339">
        <f>H674+H677</f>
        <v>129.88</v>
      </c>
      <c r="I673" s="339">
        <f t="shared" si="49"/>
        <v>3.3602400910690262</v>
      </c>
      <c r="J673" s="332"/>
    </row>
    <row r="674" spans="1:10" ht="49.7" customHeight="1" x14ac:dyDescent="0.25">
      <c r="A674" s="345" t="s">
        <v>619</v>
      </c>
      <c r="B674" s="37">
        <v>906</v>
      </c>
      <c r="C674" s="338" t="s">
        <v>280</v>
      </c>
      <c r="D674" s="338" t="s">
        <v>229</v>
      </c>
      <c r="E674" s="338" t="s">
        <v>1038</v>
      </c>
      <c r="F674" s="338"/>
      <c r="G674" s="343">
        <f>G675</f>
        <v>2200</v>
      </c>
      <c r="H674" s="343">
        <f>H675</f>
        <v>92.68</v>
      </c>
      <c r="I674" s="343">
        <f t="shared" si="49"/>
        <v>4.2127272727272729</v>
      </c>
    </row>
    <row r="675" spans="1:10" ht="31.5" x14ac:dyDescent="0.25">
      <c r="A675" s="342" t="s">
        <v>288</v>
      </c>
      <c r="B675" s="37">
        <v>906</v>
      </c>
      <c r="C675" s="338" t="s">
        <v>280</v>
      </c>
      <c r="D675" s="338" t="s">
        <v>229</v>
      </c>
      <c r="E675" s="338" t="s">
        <v>1038</v>
      </c>
      <c r="F675" s="338" t="s">
        <v>289</v>
      </c>
      <c r="G675" s="343">
        <f>G676</f>
        <v>2200</v>
      </c>
      <c r="H675" s="343">
        <f>H676</f>
        <v>92.68</v>
      </c>
      <c r="I675" s="343">
        <f t="shared" si="49"/>
        <v>4.2127272727272729</v>
      </c>
    </row>
    <row r="676" spans="1:10" ht="15.75" x14ac:dyDescent="0.25">
      <c r="A676" s="342" t="s">
        <v>290</v>
      </c>
      <c r="B676" s="37">
        <v>906</v>
      </c>
      <c r="C676" s="338" t="s">
        <v>280</v>
      </c>
      <c r="D676" s="338" t="s">
        <v>229</v>
      </c>
      <c r="E676" s="338" t="s">
        <v>1038</v>
      </c>
      <c r="F676" s="338" t="s">
        <v>291</v>
      </c>
      <c r="G676" s="344">
        <v>2200</v>
      </c>
      <c r="H676" s="344">
        <v>92.68</v>
      </c>
      <c r="I676" s="343">
        <f t="shared" si="49"/>
        <v>4.2127272727272729</v>
      </c>
    </row>
    <row r="677" spans="1:10" s="218" customFormat="1" ht="31.5" x14ac:dyDescent="0.25">
      <c r="A677" s="342" t="s">
        <v>472</v>
      </c>
      <c r="B677" s="37">
        <v>906</v>
      </c>
      <c r="C677" s="338" t="s">
        <v>280</v>
      </c>
      <c r="D677" s="338" t="s">
        <v>229</v>
      </c>
      <c r="E677" s="338" t="s">
        <v>1039</v>
      </c>
      <c r="F677" s="338"/>
      <c r="G677" s="343">
        <f>G678</f>
        <v>1665.2</v>
      </c>
      <c r="H677" s="343">
        <f>H678</f>
        <v>37.200000000000003</v>
      </c>
      <c r="I677" s="343">
        <f t="shared" si="49"/>
        <v>2.2339658899831853</v>
      </c>
      <c r="J677" s="332"/>
    </row>
    <row r="678" spans="1:10" s="218" customFormat="1" ht="31.5" x14ac:dyDescent="0.25">
      <c r="A678" s="342" t="s">
        <v>288</v>
      </c>
      <c r="B678" s="37">
        <v>906</v>
      </c>
      <c r="C678" s="338" t="s">
        <v>280</v>
      </c>
      <c r="D678" s="338" t="s">
        <v>229</v>
      </c>
      <c r="E678" s="338" t="s">
        <v>1039</v>
      </c>
      <c r="F678" s="338" t="s">
        <v>289</v>
      </c>
      <c r="G678" s="343">
        <f>G679</f>
        <v>1665.2</v>
      </c>
      <c r="H678" s="343">
        <f>H679</f>
        <v>37.200000000000003</v>
      </c>
      <c r="I678" s="343">
        <f t="shared" si="49"/>
        <v>2.2339658899831853</v>
      </c>
      <c r="J678" s="332"/>
    </row>
    <row r="679" spans="1:10" s="218" customFormat="1" ht="15.75" x14ac:dyDescent="0.25">
      <c r="A679" s="342" t="s">
        <v>290</v>
      </c>
      <c r="B679" s="37">
        <v>906</v>
      </c>
      <c r="C679" s="338" t="s">
        <v>280</v>
      </c>
      <c r="D679" s="338" t="s">
        <v>229</v>
      </c>
      <c r="E679" s="338" t="s">
        <v>1039</v>
      </c>
      <c r="F679" s="338" t="s">
        <v>291</v>
      </c>
      <c r="G679" s="344">
        <f>1740-74.8</f>
        <v>1665.2</v>
      </c>
      <c r="H679" s="344">
        <v>37.200000000000003</v>
      </c>
      <c r="I679" s="343">
        <f t="shared" si="49"/>
        <v>2.2339658899831853</v>
      </c>
      <c r="J679" s="332"/>
    </row>
    <row r="680" spans="1:10" s="218" customFormat="1" ht="34.5" customHeight="1" x14ac:dyDescent="0.25">
      <c r="A680" s="340" t="s">
        <v>1033</v>
      </c>
      <c r="B680" s="275">
        <v>906</v>
      </c>
      <c r="C680" s="341" t="s">
        <v>280</v>
      </c>
      <c r="D680" s="341" t="s">
        <v>229</v>
      </c>
      <c r="E680" s="341" t="s">
        <v>1040</v>
      </c>
      <c r="F680" s="341"/>
      <c r="G680" s="44">
        <f>G681+G684</f>
        <v>1364.7</v>
      </c>
      <c r="H680" s="44">
        <f>H681+H684</f>
        <v>257.28999999999996</v>
      </c>
      <c r="I680" s="339">
        <f t="shared" si="49"/>
        <v>18.853227815637133</v>
      </c>
      <c r="J680" s="332"/>
    </row>
    <row r="681" spans="1:10" ht="47.25" x14ac:dyDescent="0.25">
      <c r="A681" s="342" t="s">
        <v>454</v>
      </c>
      <c r="B681" s="37">
        <v>906</v>
      </c>
      <c r="C681" s="338" t="s">
        <v>280</v>
      </c>
      <c r="D681" s="338" t="s">
        <v>229</v>
      </c>
      <c r="E681" s="338" t="s">
        <v>1041</v>
      </c>
      <c r="F681" s="338"/>
      <c r="G681" s="343">
        <f>G682</f>
        <v>868</v>
      </c>
      <c r="H681" s="343">
        <f>H682</f>
        <v>202.29</v>
      </c>
      <c r="I681" s="343">
        <f t="shared" si="49"/>
        <v>23.305299539170505</v>
      </c>
    </row>
    <row r="682" spans="1:10" ht="31.5" x14ac:dyDescent="0.25">
      <c r="A682" s="342" t="s">
        <v>288</v>
      </c>
      <c r="B682" s="37">
        <v>906</v>
      </c>
      <c r="C682" s="338" t="s">
        <v>280</v>
      </c>
      <c r="D682" s="338" t="s">
        <v>229</v>
      </c>
      <c r="E682" s="338" t="s">
        <v>1041</v>
      </c>
      <c r="F682" s="338" t="s">
        <v>289</v>
      </c>
      <c r="G682" s="343">
        <f>G683</f>
        <v>868</v>
      </c>
      <c r="H682" s="343">
        <f>H683</f>
        <v>202.29</v>
      </c>
      <c r="I682" s="343">
        <f t="shared" si="49"/>
        <v>23.305299539170505</v>
      </c>
    </row>
    <row r="683" spans="1:10" ht="15.75" x14ac:dyDescent="0.25">
      <c r="A683" s="342" t="s">
        <v>290</v>
      </c>
      <c r="B683" s="37">
        <v>906</v>
      </c>
      <c r="C683" s="338" t="s">
        <v>280</v>
      </c>
      <c r="D683" s="338" t="s">
        <v>229</v>
      </c>
      <c r="E683" s="338" t="s">
        <v>1041</v>
      </c>
      <c r="F683" s="338" t="s">
        <v>291</v>
      </c>
      <c r="G683" s="343">
        <v>868</v>
      </c>
      <c r="H683" s="343">
        <v>202.29</v>
      </c>
      <c r="I683" s="343">
        <f t="shared" si="49"/>
        <v>23.305299539170505</v>
      </c>
    </row>
    <row r="684" spans="1:10" s="218" customFormat="1" ht="31.5" x14ac:dyDescent="0.25">
      <c r="A684" s="342" t="s">
        <v>474</v>
      </c>
      <c r="B684" s="37">
        <v>906</v>
      </c>
      <c r="C684" s="338" t="s">
        <v>280</v>
      </c>
      <c r="D684" s="338" t="s">
        <v>229</v>
      </c>
      <c r="E684" s="338" t="s">
        <v>1042</v>
      </c>
      <c r="F684" s="338"/>
      <c r="G684" s="344">
        <f>G685</f>
        <v>496.7</v>
      </c>
      <c r="H684" s="344">
        <f>H685</f>
        <v>55</v>
      </c>
      <c r="I684" s="343">
        <f t="shared" si="49"/>
        <v>11.073082343466883</v>
      </c>
      <c r="J684" s="332"/>
    </row>
    <row r="685" spans="1:10" s="218" customFormat="1" ht="31.5" x14ac:dyDescent="0.25">
      <c r="A685" s="273" t="s">
        <v>288</v>
      </c>
      <c r="B685" s="336">
        <v>906</v>
      </c>
      <c r="C685" s="338" t="s">
        <v>280</v>
      </c>
      <c r="D685" s="338" t="s">
        <v>229</v>
      </c>
      <c r="E685" s="338" t="s">
        <v>1042</v>
      </c>
      <c r="F685" s="338" t="s">
        <v>289</v>
      </c>
      <c r="G685" s="344">
        <f>G686</f>
        <v>496.7</v>
      </c>
      <c r="H685" s="344">
        <f>H686</f>
        <v>55</v>
      </c>
      <c r="I685" s="343">
        <f t="shared" si="49"/>
        <v>11.073082343466883</v>
      </c>
      <c r="J685" s="332"/>
    </row>
    <row r="686" spans="1:10" s="218" customFormat="1" ht="15.75" x14ac:dyDescent="0.25">
      <c r="A686" s="342" t="s">
        <v>290</v>
      </c>
      <c r="B686" s="336">
        <v>906</v>
      </c>
      <c r="C686" s="338" t="s">
        <v>280</v>
      </c>
      <c r="D686" s="338" t="s">
        <v>229</v>
      </c>
      <c r="E686" s="338" t="s">
        <v>1042</v>
      </c>
      <c r="F686" s="338" t="s">
        <v>291</v>
      </c>
      <c r="G686" s="344">
        <f>733.5-244.8+8</f>
        <v>496.7</v>
      </c>
      <c r="H686" s="344">
        <v>55</v>
      </c>
      <c r="I686" s="343">
        <f t="shared" si="49"/>
        <v>11.073082343466883</v>
      </c>
      <c r="J686" s="332"/>
    </row>
    <row r="687" spans="1:10" s="218" customFormat="1" ht="31.5" x14ac:dyDescent="0.25">
      <c r="A687" s="231" t="s">
        <v>1077</v>
      </c>
      <c r="B687" s="337">
        <v>906</v>
      </c>
      <c r="C687" s="341" t="s">
        <v>280</v>
      </c>
      <c r="D687" s="341" t="s">
        <v>229</v>
      </c>
      <c r="E687" s="341" t="s">
        <v>1043</v>
      </c>
      <c r="F687" s="341"/>
      <c r="G687" s="44">
        <f>G688+G691</f>
        <v>2634</v>
      </c>
      <c r="H687" s="44">
        <f>H688+H691</f>
        <v>2567</v>
      </c>
      <c r="I687" s="339">
        <f t="shared" si="49"/>
        <v>97.456340167046321</v>
      </c>
      <c r="J687" s="332"/>
    </row>
    <row r="688" spans="1:10" ht="31.5" hidden="1" x14ac:dyDescent="0.25">
      <c r="A688" s="342" t="s">
        <v>817</v>
      </c>
      <c r="B688" s="336">
        <v>906</v>
      </c>
      <c r="C688" s="338" t="s">
        <v>280</v>
      </c>
      <c r="D688" s="338" t="s">
        <v>229</v>
      </c>
      <c r="E688" s="338" t="s">
        <v>1045</v>
      </c>
      <c r="F688" s="338"/>
      <c r="G688" s="343">
        <f>G689</f>
        <v>0</v>
      </c>
      <c r="H688" s="343">
        <f>H689</f>
        <v>0</v>
      </c>
      <c r="I688" s="343" t="e">
        <f t="shared" si="49"/>
        <v>#DIV/0!</v>
      </c>
    </row>
    <row r="689" spans="1:10" ht="31.5" hidden="1" x14ac:dyDescent="0.25">
      <c r="A689" s="342" t="s">
        <v>288</v>
      </c>
      <c r="B689" s="336">
        <v>906</v>
      </c>
      <c r="C689" s="338" t="s">
        <v>280</v>
      </c>
      <c r="D689" s="338" t="s">
        <v>229</v>
      </c>
      <c r="E689" s="338" t="s">
        <v>1045</v>
      </c>
      <c r="F689" s="338" t="s">
        <v>289</v>
      </c>
      <c r="G689" s="343">
        <f>G690</f>
        <v>0</v>
      </c>
      <c r="H689" s="343">
        <f>H690</f>
        <v>0</v>
      </c>
      <c r="I689" s="343" t="e">
        <f t="shared" si="49"/>
        <v>#DIV/0!</v>
      </c>
    </row>
    <row r="690" spans="1:10" ht="15.75" hidden="1" x14ac:dyDescent="0.25">
      <c r="A690" s="342" t="s">
        <v>290</v>
      </c>
      <c r="B690" s="336">
        <v>906</v>
      </c>
      <c r="C690" s="338" t="s">
        <v>280</v>
      </c>
      <c r="D690" s="338" t="s">
        <v>229</v>
      </c>
      <c r="E690" s="338" t="s">
        <v>1045</v>
      </c>
      <c r="F690" s="338" t="s">
        <v>291</v>
      </c>
      <c r="G690" s="343">
        <v>0</v>
      </c>
      <c r="H690" s="343">
        <v>0</v>
      </c>
      <c r="I690" s="343" t="e">
        <f t="shared" si="49"/>
        <v>#DIV/0!</v>
      </c>
    </row>
    <row r="691" spans="1:10" ht="38.25" customHeight="1" x14ac:dyDescent="0.25">
      <c r="A691" s="60" t="s">
        <v>787</v>
      </c>
      <c r="B691" s="336">
        <v>906</v>
      </c>
      <c r="C691" s="338" t="s">
        <v>280</v>
      </c>
      <c r="D691" s="338" t="s">
        <v>229</v>
      </c>
      <c r="E691" s="338" t="s">
        <v>1046</v>
      </c>
      <c r="F691" s="338"/>
      <c r="G691" s="343">
        <f>G692</f>
        <v>2634</v>
      </c>
      <c r="H691" s="343">
        <f>H692</f>
        <v>2567</v>
      </c>
      <c r="I691" s="343">
        <f t="shared" si="49"/>
        <v>97.456340167046321</v>
      </c>
    </row>
    <row r="692" spans="1:10" ht="31.5" x14ac:dyDescent="0.25">
      <c r="A692" s="345" t="s">
        <v>288</v>
      </c>
      <c r="B692" s="336">
        <v>906</v>
      </c>
      <c r="C692" s="338" t="s">
        <v>280</v>
      </c>
      <c r="D692" s="338" t="s">
        <v>229</v>
      </c>
      <c r="E692" s="338" t="s">
        <v>1046</v>
      </c>
      <c r="F692" s="338" t="s">
        <v>289</v>
      </c>
      <c r="G692" s="343">
        <f>G693</f>
        <v>2634</v>
      </c>
      <c r="H692" s="343">
        <f>H693</f>
        <v>2567</v>
      </c>
      <c r="I692" s="343">
        <f t="shared" si="49"/>
        <v>97.456340167046321</v>
      </c>
    </row>
    <row r="693" spans="1:10" ht="15.75" x14ac:dyDescent="0.25">
      <c r="A693" s="192" t="s">
        <v>290</v>
      </c>
      <c r="B693" s="336">
        <v>906</v>
      </c>
      <c r="C693" s="338" t="s">
        <v>280</v>
      </c>
      <c r="D693" s="338" t="s">
        <v>229</v>
      </c>
      <c r="E693" s="338" t="s">
        <v>1046</v>
      </c>
      <c r="F693" s="338" t="s">
        <v>291</v>
      </c>
      <c r="G693" s="343">
        <f>2634</f>
        <v>2634</v>
      </c>
      <c r="H693" s="343">
        <v>2567</v>
      </c>
      <c r="I693" s="343">
        <f t="shared" si="49"/>
        <v>97.456340167046321</v>
      </c>
    </row>
    <row r="694" spans="1:10" s="218" customFormat="1" ht="31.5" x14ac:dyDescent="0.25">
      <c r="A694" s="229" t="s">
        <v>1048</v>
      </c>
      <c r="B694" s="337">
        <v>906</v>
      </c>
      <c r="C694" s="341" t="s">
        <v>280</v>
      </c>
      <c r="D694" s="341" t="s">
        <v>229</v>
      </c>
      <c r="E694" s="341" t="s">
        <v>1044</v>
      </c>
      <c r="F694" s="341"/>
      <c r="G694" s="339">
        <f>G695+G698</f>
        <v>752.8</v>
      </c>
      <c r="H694" s="339">
        <f>H695+H698</f>
        <v>84.1</v>
      </c>
      <c r="I694" s="339">
        <f t="shared" si="49"/>
        <v>11.171625929861849</v>
      </c>
      <c r="J694" s="332"/>
    </row>
    <row r="695" spans="1:10" s="218" customFormat="1" ht="47.25" x14ac:dyDescent="0.25">
      <c r="A695" s="192" t="s">
        <v>874</v>
      </c>
      <c r="B695" s="336">
        <v>906</v>
      </c>
      <c r="C695" s="338" t="s">
        <v>280</v>
      </c>
      <c r="D695" s="338" t="s">
        <v>229</v>
      </c>
      <c r="E695" s="338" t="s">
        <v>1517</v>
      </c>
      <c r="F695" s="338"/>
      <c r="G695" s="343">
        <f>G696</f>
        <v>678</v>
      </c>
      <c r="H695" s="343">
        <f>H696</f>
        <v>84.1</v>
      </c>
      <c r="I695" s="343">
        <f t="shared" si="49"/>
        <v>12.404129793510323</v>
      </c>
      <c r="J695" s="332"/>
    </row>
    <row r="696" spans="1:10" s="218" customFormat="1" ht="31.5" x14ac:dyDescent="0.25">
      <c r="A696" s="31" t="s">
        <v>288</v>
      </c>
      <c r="B696" s="336">
        <v>906</v>
      </c>
      <c r="C696" s="338" t="s">
        <v>280</v>
      </c>
      <c r="D696" s="338" t="s">
        <v>229</v>
      </c>
      <c r="E696" s="338" t="s">
        <v>1517</v>
      </c>
      <c r="F696" s="338" t="s">
        <v>289</v>
      </c>
      <c r="G696" s="343">
        <f>G697</f>
        <v>678</v>
      </c>
      <c r="H696" s="343">
        <f>H697</f>
        <v>84.1</v>
      </c>
      <c r="I696" s="343">
        <f t="shared" si="49"/>
        <v>12.404129793510323</v>
      </c>
      <c r="J696" s="332"/>
    </row>
    <row r="697" spans="1:10" s="218" customFormat="1" ht="15.75" x14ac:dyDescent="0.25">
      <c r="A697" s="31" t="s">
        <v>290</v>
      </c>
      <c r="B697" s="336">
        <v>906</v>
      </c>
      <c r="C697" s="338" t="s">
        <v>280</v>
      </c>
      <c r="D697" s="338" t="s">
        <v>229</v>
      </c>
      <c r="E697" s="338" t="s">
        <v>1517</v>
      </c>
      <c r="F697" s="338" t="s">
        <v>291</v>
      </c>
      <c r="G697" s="343">
        <f>678</f>
        <v>678</v>
      </c>
      <c r="H697" s="343">
        <v>84.1</v>
      </c>
      <c r="I697" s="343">
        <f t="shared" si="49"/>
        <v>12.404129793510323</v>
      </c>
      <c r="J697" s="332"/>
    </row>
    <row r="698" spans="1:10" s="332" customFormat="1" ht="31.5" x14ac:dyDescent="0.25">
      <c r="A698" s="31" t="s">
        <v>1516</v>
      </c>
      <c r="B698" s="336">
        <v>906</v>
      </c>
      <c r="C698" s="338" t="s">
        <v>280</v>
      </c>
      <c r="D698" s="338" t="s">
        <v>229</v>
      </c>
      <c r="E698" s="338" t="s">
        <v>1518</v>
      </c>
      <c r="F698" s="338"/>
      <c r="G698" s="343">
        <f>G699</f>
        <v>74.8</v>
      </c>
      <c r="H698" s="343">
        <f>H699</f>
        <v>0</v>
      </c>
      <c r="I698" s="343">
        <f t="shared" si="49"/>
        <v>0</v>
      </c>
    </row>
    <row r="699" spans="1:10" s="332" customFormat="1" ht="31.5" x14ac:dyDescent="0.25">
      <c r="A699" s="31" t="s">
        <v>288</v>
      </c>
      <c r="B699" s="336">
        <v>906</v>
      </c>
      <c r="C699" s="338" t="s">
        <v>280</v>
      </c>
      <c r="D699" s="338" t="s">
        <v>229</v>
      </c>
      <c r="E699" s="338" t="s">
        <v>1518</v>
      </c>
      <c r="F699" s="338" t="s">
        <v>289</v>
      </c>
      <c r="G699" s="343">
        <f>G700</f>
        <v>74.8</v>
      </c>
      <c r="H699" s="343">
        <f>H700</f>
        <v>0</v>
      </c>
      <c r="I699" s="343">
        <f t="shared" si="49"/>
        <v>0</v>
      </c>
    </row>
    <row r="700" spans="1:10" s="332" customFormat="1" ht="15.75" x14ac:dyDescent="0.25">
      <c r="A700" s="31" t="s">
        <v>290</v>
      </c>
      <c r="B700" s="336">
        <v>906</v>
      </c>
      <c r="C700" s="338" t="s">
        <v>280</v>
      </c>
      <c r="D700" s="338" t="s">
        <v>229</v>
      </c>
      <c r="E700" s="338" t="s">
        <v>1518</v>
      </c>
      <c r="F700" s="338" t="s">
        <v>291</v>
      </c>
      <c r="G700" s="343">
        <v>74.8</v>
      </c>
      <c r="H700" s="343">
        <v>0</v>
      </c>
      <c r="I700" s="343">
        <f t="shared" si="49"/>
        <v>0</v>
      </c>
    </row>
    <row r="701" spans="1:10" s="332" customFormat="1" ht="38.1" customHeight="1" x14ac:dyDescent="0.25">
      <c r="A701" s="229" t="s">
        <v>1414</v>
      </c>
      <c r="B701" s="337">
        <v>906</v>
      </c>
      <c r="C701" s="341" t="s">
        <v>280</v>
      </c>
      <c r="D701" s="341" t="s">
        <v>229</v>
      </c>
      <c r="E701" s="341" t="s">
        <v>1412</v>
      </c>
      <c r="F701" s="341"/>
      <c r="G701" s="362">
        <f>G702+G705</f>
        <v>1164.8589999999999</v>
      </c>
      <c r="H701" s="362">
        <f>H702+H705</f>
        <v>0</v>
      </c>
      <c r="I701" s="339">
        <f t="shared" si="49"/>
        <v>0</v>
      </c>
    </row>
    <row r="702" spans="1:10" s="332" customFormat="1" ht="47.25" x14ac:dyDescent="0.25">
      <c r="A702" s="192" t="s">
        <v>1453</v>
      </c>
      <c r="B702" s="336">
        <v>906</v>
      </c>
      <c r="C702" s="338" t="s">
        <v>280</v>
      </c>
      <c r="D702" s="338" t="s">
        <v>229</v>
      </c>
      <c r="E702" s="338" t="s">
        <v>1413</v>
      </c>
      <c r="F702" s="338"/>
      <c r="G702" s="361">
        <f>G703</f>
        <v>1164.8589999999999</v>
      </c>
      <c r="H702" s="361">
        <f>H703</f>
        <v>0</v>
      </c>
      <c r="I702" s="343">
        <f t="shared" si="49"/>
        <v>0</v>
      </c>
    </row>
    <row r="703" spans="1:10" s="332" customFormat="1" ht="31.5" x14ac:dyDescent="0.25">
      <c r="A703" s="31" t="s">
        <v>288</v>
      </c>
      <c r="B703" s="336">
        <v>906</v>
      </c>
      <c r="C703" s="338" t="s">
        <v>280</v>
      </c>
      <c r="D703" s="338" t="s">
        <v>229</v>
      </c>
      <c r="E703" s="338" t="s">
        <v>1413</v>
      </c>
      <c r="F703" s="338" t="s">
        <v>289</v>
      </c>
      <c r="G703" s="361">
        <f>G704</f>
        <v>1164.8589999999999</v>
      </c>
      <c r="H703" s="361">
        <f>H704</f>
        <v>0</v>
      </c>
      <c r="I703" s="343">
        <f t="shared" si="49"/>
        <v>0</v>
      </c>
    </row>
    <row r="704" spans="1:10" s="332" customFormat="1" ht="15.75" x14ac:dyDescent="0.25">
      <c r="A704" s="31" t="s">
        <v>290</v>
      </c>
      <c r="B704" s="336">
        <v>906</v>
      </c>
      <c r="C704" s="338" t="s">
        <v>280</v>
      </c>
      <c r="D704" s="338" t="s">
        <v>229</v>
      </c>
      <c r="E704" s="338" t="s">
        <v>1413</v>
      </c>
      <c r="F704" s="338" t="s">
        <v>291</v>
      </c>
      <c r="G704" s="361">
        <f>1117.1+10+37.759</f>
        <v>1164.8589999999999</v>
      </c>
      <c r="H704" s="361">
        <v>0</v>
      </c>
      <c r="I704" s="343">
        <f t="shared" si="49"/>
        <v>0</v>
      </c>
    </row>
    <row r="705" spans="1:12" s="332" customFormat="1" ht="63" hidden="1" x14ac:dyDescent="0.25">
      <c r="A705" s="192" t="s">
        <v>1541</v>
      </c>
      <c r="B705" s="336">
        <v>906</v>
      </c>
      <c r="C705" s="338" t="s">
        <v>280</v>
      </c>
      <c r="D705" s="338" t="s">
        <v>229</v>
      </c>
      <c r="E705" s="338" t="s">
        <v>1536</v>
      </c>
      <c r="F705" s="338"/>
      <c r="G705" s="361">
        <f>G706</f>
        <v>0</v>
      </c>
      <c r="H705" s="361">
        <f>H706</f>
        <v>0</v>
      </c>
      <c r="I705" s="343" t="e">
        <f t="shared" si="49"/>
        <v>#DIV/0!</v>
      </c>
      <c r="L705" s="364" t="s">
        <v>1542</v>
      </c>
    </row>
    <row r="706" spans="1:12" s="332" customFormat="1" ht="31.5" hidden="1" x14ac:dyDescent="0.25">
      <c r="A706" s="31" t="s">
        <v>288</v>
      </c>
      <c r="B706" s="336">
        <v>906</v>
      </c>
      <c r="C706" s="338" t="s">
        <v>280</v>
      </c>
      <c r="D706" s="338" t="s">
        <v>229</v>
      </c>
      <c r="E706" s="338" t="s">
        <v>1536</v>
      </c>
      <c r="F706" s="338" t="s">
        <v>289</v>
      </c>
      <c r="G706" s="361">
        <f>G707</f>
        <v>0</v>
      </c>
      <c r="H706" s="361">
        <f>H707</f>
        <v>0</v>
      </c>
      <c r="I706" s="343" t="e">
        <f t="shared" si="49"/>
        <v>#DIV/0!</v>
      </c>
    </row>
    <row r="707" spans="1:12" s="332" customFormat="1" ht="15.75" hidden="1" x14ac:dyDescent="0.25">
      <c r="A707" s="31" t="s">
        <v>290</v>
      </c>
      <c r="B707" s="336">
        <v>906</v>
      </c>
      <c r="C707" s="338" t="s">
        <v>280</v>
      </c>
      <c r="D707" s="338" t="s">
        <v>229</v>
      </c>
      <c r="E707" s="338" t="s">
        <v>1536</v>
      </c>
      <c r="F707" s="338" t="s">
        <v>291</v>
      </c>
      <c r="G707" s="361">
        <v>0</v>
      </c>
      <c r="H707" s="361">
        <v>0</v>
      </c>
      <c r="I707" s="343" t="e">
        <f t="shared" si="49"/>
        <v>#DIV/0!</v>
      </c>
    </row>
    <row r="708" spans="1:12" ht="47.25" x14ac:dyDescent="0.25">
      <c r="A708" s="34" t="s">
        <v>805</v>
      </c>
      <c r="B708" s="337">
        <v>906</v>
      </c>
      <c r="C708" s="341" t="s">
        <v>280</v>
      </c>
      <c r="D708" s="341" t="s">
        <v>229</v>
      </c>
      <c r="E708" s="341" t="s">
        <v>340</v>
      </c>
      <c r="F708" s="341"/>
      <c r="G708" s="339">
        <f t="shared" ref="G708:H711" si="50">G709</f>
        <v>150</v>
      </c>
      <c r="H708" s="339">
        <f t="shared" si="50"/>
        <v>150</v>
      </c>
      <c r="I708" s="339">
        <f t="shared" si="49"/>
        <v>100</v>
      </c>
    </row>
    <row r="709" spans="1:12" s="218" customFormat="1" ht="47.25" x14ac:dyDescent="0.25">
      <c r="A709" s="34" t="s">
        <v>1190</v>
      </c>
      <c r="B709" s="337">
        <v>906</v>
      </c>
      <c r="C709" s="341" t="s">
        <v>280</v>
      </c>
      <c r="D709" s="341" t="s">
        <v>229</v>
      </c>
      <c r="E709" s="341" t="s">
        <v>1025</v>
      </c>
      <c r="F709" s="341"/>
      <c r="G709" s="339">
        <f t="shared" si="50"/>
        <v>150</v>
      </c>
      <c r="H709" s="339">
        <f t="shared" si="50"/>
        <v>150</v>
      </c>
      <c r="I709" s="339">
        <f t="shared" si="49"/>
        <v>100</v>
      </c>
      <c r="J709" s="332"/>
    </row>
    <row r="710" spans="1:12" ht="47.25" x14ac:dyDescent="0.25">
      <c r="A710" s="31" t="s">
        <v>1274</v>
      </c>
      <c r="B710" s="336">
        <v>906</v>
      </c>
      <c r="C710" s="338" t="s">
        <v>280</v>
      </c>
      <c r="D710" s="338" t="s">
        <v>229</v>
      </c>
      <c r="E710" s="338" t="s">
        <v>1026</v>
      </c>
      <c r="F710" s="338"/>
      <c r="G710" s="343">
        <f t="shared" si="50"/>
        <v>150</v>
      </c>
      <c r="H710" s="343">
        <f t="shared" si="50"/>
        <v>150</v>
      </c>
      <c r="I710" s="343">
        <f t="shared" si="49"/>
        <v>100</v>
      </c>
    </row>
    <row r="711" spans="1:12" ht="31.5" x14ac:dyDescent="0.25">
      <c r="A711" s="31" t="s">
        <v>288</v>
      </c>
      <c r="B711" s="336">
        <v>906</v>
      </c>
      <c r="C711" s="338" t="s">
        <v>280</v>
      </c>
      <c r="D711" s="338" t="s">
        <v>229</v>
      </c>
      <c r="E711" s="338" t="s">
        <v>1026</v>
      </c>
      <c r="F711" s="338" t="s">
        <v>289</v>
      </c>
      <c r="G711" s="343">
        <f t="shared" si="50"/>
        <v>150</v>
      </c>
      <c r="H711" s="343">
        <f t="shared" si="50"/>
        <v>150</v>
      </c>
      <c r="I711" s="343">
        <f t="shared" si="49"/>
        <v>100</v>
      </c>
    </row>
    <row r="712" spans="1:12" ht="15.75" x14ac:dyDescent="0.25">
      <c r="A712" s="31" t="s">
        <v>290</v>
      </c>
      <c r="B712" s="336">
        <v>906</v>
      </c>
      <c r="C712" s="338" t="s">
        <v>280</v>
      </c>
      <c r="D712" s="338" t="s">
        <v>229</v>
      </c>
      <c r="E712" s="338" t="s">
        <v>1026</v>
      </c>
      <c r="F712" s="338" t="s">
        <v>291</v>
      </c>
      <c r="G712" s="343">
        <v>150</v>
      </c>
      <c r="H712" s="343">
        <v>150</v>
      </c>
      <c r="I712" s="343">
        <f t="shared" si="49"/>
        <v>100</v>
      </c>
    </row>
    <row r="713" spans="1:12" ht="47.25" x14ac:dyDescent="0.25">
      <c r="A713" s="41" t="s">
        <v>1179</v>
      </c>
      <c r="B713" s="337">
        <v>906</v>
      </c>
      <c r="C713" s="341" t="s">
        <v>280</v>
      </c>
      <c r="D713" s="341" t="s">
        <v>229</v>
      </c>
      <c r="E713" s="341" t="s">
        <v>728</v>
      </c>
      <c r="F713" s="235"/>
      <c r="G713" s="339">
        <f t="shared" ref="G713:H716" si="51">G714</f>
        <v>723.3</v>
      </c>
      <c r="H713" s="339">
        <f t="shared" si="51"/>
        <v>286.8</v>
      </c>
      <c r="I713" s="339">
        <f t="shared" si="49"/>
        <v>39.651596847781008</v>
      </c>
    </row>
    <row r="714" spans="1:12" s="218" customFormat="1" ht="47.25" x14ac:dyDescent="0.25">
      <c r="A714" s="41" t="s">
        <v>949</v>
      </c>
      <c r="B714" s="337">
        <v>906</v>
      </c>
      <c r="C714" s="341" t="s">
        <v>280</v>
      </c>
      <c r="D714" s="341" t="s">
        <v>229</v>
      </c>
      <c r="E714" s="341" t="s">
        <v>947</v>
      </c>
      <c r="F714" s="235"/>
      <c r="G714" s="339">
        <f t="shared" si="51"/>
        <v>723.3</v>
      </c>
      <c r="H714" s="339">
        <f t="shared" si="51"/>
        <v>286.8</v>
      </c>
      <c r="I714" s="339">
        <f t="shared" si="49"/>
        <v>39.651596847781008</v>
      </c>
      <c r="J714" s="332"/>
    </row>
    <row r="715" spans="1:12" ht="35.450000000000003" customHeight="1" x14ac:dyDescent="0.25">
      <c r="A715" s="99" t="s">
        <v>803</v>
      </c>
      <c r="B715" s="336">
        <v>906</v>
      </c>
      <c r="C715" s="338" t="s">
        <v>280</v>
      </c>
      <c r="D715" s="338" t="s">
        <v>229</v>
      </c>
      <c r="E715" s="338" t="s">
        <v>1027</v>
      </c>
      <c r="F715" s="32"/>
      <c r="G715" s="343">
        <f t="shared" si="51"/>
        <v>723.3</v>
      </c>
      <c r="H715" s="343">
        <f t="shared" si="51"/>
        <v>286.8</v>
      </c>
      <c r="I715" s="343">
        <f t="shared" ref="I715:I778" si="52">H715/G715*100</f>
        <v>39.651596847781008</v>
      </c>
    </row>
    <row r="716" spans="1:12" ht="39.75" customHeight="1" x14ac:dyDescent="0.25">
      <c r="A716" s="345" t="s">
        <v>288</v>
      </c>
      <c r="B716" s="336">
        <v>906</v>
      </c>
      <c r="C716" s="338" t="s">
        <v>280</v>
      </c>
      <c r="D716" s="338" t="s">
        <v>229</v>
      </c>
      <c r="E716" s="338" t="s">
        <v>1027</v>
      </c>
      <c r="F716" s="32" t="s">
        <v>289</v>
      </c>
      <c r="G716" s="343">
        <f t="shared" si="51"/>
        <v>723.3</v>
      </c>
      <c r="H716" s="343">
        <f t="shared" si="51"/>
        <v>286.8</v>
      </c>
      <c r="I716" s="343">
        <f t="shared" si="52"/>
        <v>39.651596847781008</v>
      </c>
    </row>
    <row r="717" spans="1:12" ht="15.75" x14ac:dyDescent="0.25">
      <c r="A717" s="192" t="s">
        <v>290</v>
      </c>
      <c r="B717" s="336">
        <v>906</v>
      </c>
      <c r="C717" s="338" t="s">
        <v>280</v>
      </c>
      <c r="D717" s="338" t="s">
        <v>229</v>
      </c>
      <c r="E717" s="338" t="s">
        <v>1027</v>
      </c>
      <c r="F717" s="32" t="s">
        <v>291</v>
      </c>
      <c r="G717" s="343">
        <f>723.3</f>
        <v>723.3</v>
      </c>
      <c r="H717" s="343">
        <v>286.8</v>
      </c>
      <c r="I717" s="343">
        <f t="shared" si="52"/>
        <v>39.651596847781008</v>
      </c>
    </row>
    <row r="718" spans="1:12" ht="15.75" x14ac:dyDescent="0.25">
      <c r="A718" s="340" t="s">
        <v>281</v>
      </c>
      <c r="B718" s="337">
        <v>906</v>
      </c>
      <c r="C718" s="341" t="s">
        <v>280</v>
      </c>
      <c r="D718" s="341" t="s">
        <v>231</v>
      </c>
      <c r="E718" s="341"/>
      <c r="F718" s="341"/>
      <c r="G718" s="44">
        <f>G719+G747</f>
        <v>35226.899999999994</v>
      </c>
      <c r="H718" s="44">
        <f>H719+H747</f>
        <v>21210.77</v>
      </c>
      <c r="I718" s="339">
        <f t="shared" si="52"/>
        <v>60.211855144789929</v>
      </c>
    </row>
    <row r="719" spans="1:12" ht="54" customHeight="1" x14ac:dyDescent="0.25">
      <c r="A719" s="340" t="s">
        <v>442</v>
      </c>
      <c r="B719" s="337">
        <v>906</v>
      </c>
      <c r="C719" s="341" t="s">
        <v>280</v>
      </c>
      <c r="D719" s="341" t="s">
        <v>231</v>
      </c>
      <c r="E719" s="341" t="s">
        <v>422</v>
      </c>
      <c r="F719" s="341"/>
      <c r="G719" s="44">
        <f>G720+G738</f>
        <v>34926.199999999997</v>
      </c>
      <c r="H719" s="44">
        <f>H720+H738</f>
        <v>21061.37</v>
      </c>
      <c r="I719" s="339">
        <f t="shared" si="52"/>
        <v>60.302494975118968</v>
      </c>
    </row>
    <row r="720" spans="1:12" ht="36.75" customHeight="1" x14ac:dyDescent="0.25">
      <c r="A720" s="340" t="s">
        <v>423</v>
      </c>
      <c r="B720" s="337">
        <v>906</v>
      </c>
      <c r="C720" s="341" t="s">
        <v>280</v>
      </c>
      <c r="D720" s="341" t="s">
        <v>231</v>
      </c>
      <c r="E720" s="341" t="s">
        <v>424</v>
      </c>
      <c r="F720" s="341"/>
      <c r="G720" s="44">
        <f>G722+G725</f>
        <v>34237.199999999997</v>
      </c>
      <c r="H720" s="44">
        <f>H722+H725</f>
        <v>20461.37</v>
      </c>
      <c r="I720" s="339">
        <f t="shared" si="52"/>
        <v>59.76356127253397</v>
      </c>
    </row>
    <row r="721" spans="1:10" s="218" customFormat="1" ht="36.75" customHeight="1" x14ac:dyDescent="0.25">
      <c r="A721" s="340" t="s">
        <v>1028</v>
      </c>
      <c r="B721" s="337">
        <v>906</v>
      </c>
      <c r="C721" s="341" t="s">
        <v>280</v>
      </c>
      <c r="D721" s="341" t="s">
        <v>231</v>
      </c>
      <c r="E721" s="341" t="s">
        <v>1006</v>
      </c>
      <c r="F721" s="341"/>
      <c r="G721" s="44">
        <f t="shared" ref="G721:H723" si="53">G722</f>
        <v>32614.999999999996</v>
      </c>
      <c r="H721" s="44">
        <f t="shared" si="53"/>
        <v>19239</v>
      </c>
      <c r="I721" s="339">
        <f t="shared" si="52"/>
        <v>58.988195615514336</v>
      </c>
      <c r="J721" s="332"/>
    </row>
    <row r="722" spans="1:10" ht="31.5" x14ac:dyDescent="0.25">
      <c r="A722" s="342" t="s">
        <v>286</v>
      </c>
      <c r="B722" s="336">
        <v>906</v>
      </c>
      <c r="C722" s="338" t="s">
        <v>280</v>
      </c>
      <c r="D722" s="338" t="s">
        <v>231</v>
      </c>
      <c r="E722" s="338" t="s">
        <v>1051</v>
      </c>
      <c r="F722" s="338"/>
      <c r="G722" s="344">
        <f t="shared" si="53"/>
        <v>32614.999999999996</v>
      </c>
      <c r="H722" s="344">
        <f t="shared" si="53"/>
        <v>19239</v>
      </c>
      <c r="I722" s="343">
        <f t="shared" si="52"/>
        <v>58.988195615514336</v>
      </c>
    </row>
    <row r="723" spans="1:10" ht="36.75" customHeight="1" x14ac:dyDescent="0.25">
      <c r="A723" s="342" t="s">
        <v>288</v>
      </c>
      <c r="B723" s="336">
        <v>906</v>
      </c>
      <c r="C723" s="338" t="s">
        <v>280</v>
      </c>
      <c r="D723" s="338" t="s">
        <v>231</v>
      </c>
      <c r="E723" s="338" t="s">
        <v>1051</v>
      </c>
      <c r="F723" s="338" t="s">
        <v>289</v>
      </c>
      <c r="G723" s="344">
        <f t="shared" si="53"/>
        <v>32614.999999999996</v>
      </c>
      <c r="H723" s="344">
        <f t="shared" si="53"/>
        <v>19239</v>
      </c>
      <c r="I723" s="343">
        <f t="shared" si="52"/>
        <v>58.988195615514336</v>
      </c>
    </row>
    <row r="724" spans="1:10" ht="15.75" x14ac:dyDescent="0.25">
      <c r="A724" s="342" t="s">
        <v>290</v>
      </c>
      <c r="B724" s="336">
        <v>906</v>
      </c>
      <c r="C724" s="338" t="s">
        <v>280</v>
      </c>
      <c r="D724" s="338" t="s">
        <v>231</v>
      </c>
      <c r="E724" s="338" t="s">
        <v>1051</v>
      </c>
      <c r="F724" s="338" t="s">
        <v>291</v>
      </c>
      <c r="G724" s="344">
        <f>27381+1173.6+2213.8+0.6+1846</f>
        <v>32614.999999999996</v>
      </c>
      <c r="H724" s="344">
        <v>19239</v>
      </c>
      <c r="I724" s="343">
        <f t="shared" si="52"/>
        <v>58.988195615514336</v>
      </c>
    </row>
    <row r="725" spans="1:10" s="218" customFormat="1" ht="44.45" customHeight="1" x14ac:dyDescent="0.25">
      <c r="A725" s="340" t="s">
        <v>971</v>
      </c>
      <c r="B725" s="337">
        <v>906</v>
      </c>
      <c r="C725" s="341" t="s">
        <v>280</v>
      </c>
      <c r="D725" s="341" t="s">
        <v>231</v>
      </c>
      <c r="E725" s="341" t="s">
        <v>1021</v>
      </c>
      <c r="F725" s="341"/>
      <c r="G725" s="44">
        <f>G729+G732+G735+G726</f>
        <v>1622.2</v>
      </c>
      <c r="H725" s="44">
        <f>H729+H732+H735+H726</f>
        <v>1222.3700000000001</v>
      </c>
      <c r="I725" s="339">
        <f t="shared" si="52"/>
        <v>75.352607569966708</v>
      </c>
      <c r="J725" s="332"/>
    </row>
    <row r="726" spans="1:10" s="332" customFormat="1" ht="77.25" customHeight="1" x14ac:dyDescent="0.25">
      <c r="A726" s="31" t="s">
        <v>309</v>
      </c>
      <c r="B726" s="336">
        <v>906</v>
      </c>
      <c r="C726" s="338" t="s">
        <v>280</v>
      </c>
      <c r="D726" s="338" t="s">
        <v>231</v>
      </c>
      <c r="E726" s="338" t="s">
        <v>1519</v>
      </c>
      <c r="F726" s="338"/>
      <c r="G726" s="344">
        <f>G727</f>
        <v>216.9</v>
      </c>
      <c r="H726" s="344">
        <f>H727</f>
        <v>65.67</v>
      </c>
      <c r="I726" s="343">
        <f t="shared" si="52"/>
        <v>30.276625172890732</v>
      </c>
    </row>
    <row r="727" spans="1:10" s="332" customFormat="1" ht="36" customHeight="1" x14ac:dyDescent="0.25">
      <c r="A727" s="342" t="s">
        <v>288</v>
      </c>
      <c r="B727" s="336">
        <v>906</v>
      </c>
      <c r="C727" s="338" t="s">
        <v>280</v>
      </c>
      <c r="D727" s="338" t="s">
        <v>231</v>
      </c>
      <c r="E727" s="338" t="s">
        <v>1519</v>
      </c>
      <c r="F727" s="338" t="s">
        <v>289</v>
      </c>
      <c r="G727" s="344">
        <f>G728</f>
        <v>216.9</v>
      </c>
      <c r="H727" s="344">
        <f>H728</f>
        <v>65.67</v>
      </c>
      <c r="I727" s="343">
        <f t="shared" si="52"/>
        <v>30.276625172890732</v>
      </c>
    </row>
    <row r="728" spans="1:10" s="332" customFormat="1" ht="36" customHeight="1" x14ac:dyDescent="0.25">
      <c r="A728" s="342" t="s">
        <v>290</v>
      </c>
      <c r="B728" s="336">
        <v>906</v>
      </c>
      <c r="C728" s="338" t="s">
        <v>280</v>
      </c>
      <c r="D728" s="338" t="s">
        <v>231</v>
      </c>
      <c r="E728" s="338" t="s">
        <v>1519</v>
      </c>
      <c r="F728" s="338" t="s">
        <v>291</v>
      </c>
      <c r="G728" s="344">
        <v>216.9</v>
      </c>
      <c r="H728" s="344">
        <v>65.67</v>
      </c>
      <c r="I728" s="343">
        <f t="shared" si="52"/>
        <v>30.276625172890732</v>
      </c>
    </row>
    <row r="729" spans="1:10" s="218" customFormat="1" ht="60.75" customHeight="1" x14ac:dyDescent="0.25">
      <c r="A729" s="31" t="s">
        <v>305</v>
      </c>
      <c r="B729" s="336">
        <v>906</v>
      </c>
      <c r="C729" s="338" t="s">
        <v>280</v>
      </c>
      <c r="D729" s="338" t="s">
        <v>231</v>
      </c>
      <c r="E729" s="338" t="s">
        <v>1020</v>
      </c>
      <c r="F729" s="338"/>
      <c r="G729" s="344">
        <f>G730</f>
        <v>169.3</v>
      </c>
      <c r="H729" s="344">
        <f>H730</f>
        <v>106.2</v>
      </c>
      <c r="I729" s="343">
        <f t="shared" si="52"/>
        <v>62.728883638511512</v>
      </c>
      <c r="J729" s="332"/>
    </row>
    <row r="730" spans="1:10" s="218" customFormat="1" ht="31.5" x14ac:dyDescent="0.25">
      <c r="A730" s="342" t="s">
        <v>288</v>
      </c>
      <c r="B730" s="336">
        <v>906</v>
      </c>
      <c r="C730" s="338" t="s">
        <v>280</v>
      </c>
      <c r="D730" s="338" t="s">
        <v>231</v>
      </c>
      <c r="E730" s="338" t="s">
        <v>1020</v>
      </c>
      <c r="F730" s="338" t="s">
        <v>289</v>
      </c>
      <c r="G730" s="344">
        <f>G731</f>
        <v>169.3</v>
      </c>
      <c r="H730" s="344">
        <f>H731</f>
        <v>106.2</v>
      </c>
      <c r="I730" s="343">
        <f t="shared" si="52"/>
        <v>62.728883638511512</v>
      </c>
      <c r="J730" s="332"/>
    </row>
    <row r="731" spans="1:10" s="218" customFormat="1" ht="15.75" x14ac:dyDescent="0.25">
      <c r="A731" s="342" t="s">
        <v>290</v>
      </c>
      <c r="B731" s="336">
        <v>906</v>
      </c>
      <c r="C731" s="338" t="s">
        <v>280</v>
      </c>
      <c r="D731" s="338" t="s">
        <v>231</v>
      </c>
      <c r="E731" s="338" t="s">
        <v>1020</v>
      </c>
      <c r="F731" s="338" t="s">
        <v>291</v>
      </c>
      <c r="G731" s="344">
        <f>169.28+0.02</f>
        <v>169.3</v>
      </c>
      <c r="H731" s="344">
        <v>106.2</v>
      </c>
      <c r="I731" s="343">
        <f t="shared" si="52"/>
        <v>62.728883638511512</v>
      </c>
      <c r="J731" s="332"/>
    </row>
    <row r="732" spans="1:10" s="218" customFormat="1" ht="63" x14ac:dyDescent="0.25">
      <c r="A732" s="31" t="s">
        <v>307</v>
      </c>
      <c r="B732" s="336">
        <v>906</v>
      </c>
      <c r="C732" s="338" t="s">
        <v>280</v>
      </c>
      <c r="D732" s="338" t="s">
        <v>231</v>
      </c>
      <c r="E732" s="338" t="s">
        <v>1023</v>
      </c>
      <c r="F732" s="338"/>
      <c r="G732" s="344">
        <f>G733</f>
        <v>549.5</v>
      </c>
      <c r="H732" s="344">
        <f>H733</f>
        <v>364</v>
      </c>
      <c r="I732" s="343">
        <f t="shared" si="52"/>
        <v>66.242038216560502</v>
      </c>
      <c r="J732" s="332"/>
    </row>
    <row r="733" spans="1:10" s="218" customFormat="1" ht="31.5" x14ac:dyDescent="0.25">
      <c r="A733" s="342" t="s">
        <v>288</v>
      </c>
      <c r="B733" s="336">
        <v>906</v>
      </c>
      <c r="C733" s="338" t="s">
        <v>280</v>
      </c>
      <c r="D733" s="338" t="s">
        <v>231</v>
      </c>
      <c r="E733" s="338" t="s">
        <v>1023</v>
      </c>
      <c r="F733" s="338" t="s">
        <v>289</v>
      </c>
      <c r="G733" s="344">
        <f>G734</f>
        <v>549.5</v>
      </c>
      <c r="H733" s="344">
        <f>H734</f>
        <v>364</v>
      </c>
      <c r="I733" s="343">
        <f t="shared" si="52"/>
        <v>66.242038216560502</v>
      </c>
      <c r="J733" s="332"/>
    </row>
    <row r="734" spans="1:10" s="218" customFormat="1" ht="15.75" x14ac:dyDescent="0.25">
      <c r="A734" s="342" t="s">
        <v>290</v>
      </c>
      <c r="B734" s="336">
        <v>906</v>
      </c>
      <c r="C734" s="338" t="s">
        <v>280</v>
      </c>
      <c r="D734" s="338" t="s">
        <v>231</v>
      </c>
      <c r="E734" s="338" t="s">
        <v>1023</v>
      </c>
      <c r="F734" s="338" t="s">
        <v>291</v>
      </c>
      <c r="G734" s="344">
        <f>549.46+0.04</f>
        <v>549.5</v>
      </c>
      <c r="H734" s="344">
        <v>364</v>
      </c>
      <c r="I734" s="343">
        <f t="shared" si="52"/>
        <v>66.242038216560502</v>
      </c>
      <c r="J734" s="332"/>
    </row>
    <row r="735" spans="1:10" s="218" customFormat="1" ht="78.75" x14ac:dyDescent="0.25">
      <c r="A735" s="31" t="s">
        <v>309</v>
      </c>
      <c r="B735" s="336">
        <v>906</v>
      </c>
      <c r="C735" s="338" t="s">
        <v>280</v>
      </c>
      <c r="D735" s="338" t="s">
        <v>231</v>
      </c>
      <c r="E735" s="338" t="s">
        <v>1024</v>
      </c>
      <c r="F735" s="338"/>
      <c r="G735" s="344">
        <f>G736</f>
        <v>686.5</v>
      </c>
      <c r="H735" s="344">
        <f>H736</f>
        <v>686.5</v>
      </c>
      <c r="I735" s="343">
        <f t="shared" si="52"/>
        <v>100</v>
      </c>
      <c r="J735" s="332"/>
    </row>
    <row r="736" spans="1:10" s="218" customFormat="1" ht="31.5" x14ac:dyDescent="0.25">
      <c r="A736" s="342" t="s">
        <v>288</v>
      </c>
      <c r="B736" s="336">
        <v>906</v>
      </c>
      <c r="C736" s="338" t="s">
        <v>280</v>
      </c>
      <c r="D736" s="338" t="s">
        <v>231</v>
      </c>
      <c r="E736" s="338" t="s">
        <v>1024</v>
      </c>
      <c r="F736" s="338" t="s">
        <v>289</v>
      </c>
      <c r="G736" s="344">
        <f>G737</f>
        <v>686.5</v>
      </c>
      <c r="H736" s="344">
        <f>H737</f>
        <v>686.5</v>
      </c>
      <c r="I736" s="343">
        <f t="shared" si="52"/>
        <v>100</v>
      </c>
      <c r="J736" s="332"/>
    </row>
    <row r="737" spans="1:10" s="218" customFormat="1" ht="15.75" x14ac:dyDescent="0.25">
      <c r="A737" s="342" t="s">
        <v>290</v>
      </c>
      <c r="B737" s="336">
        <v>906</v>
      </c>
      <c r="C737" s="338" t="s">
        <v>280</v>
      </c>
      <c r="D737" s="338" t="s">
        <v>231</v>
      </c>
      <c r="E737" s="338" t="s">
        <v>1024</v>
      </c>
      <c r="F737" s="338" t="s">
        <v>291</v>
      </c>
      <c r="G737" s="344">
        <f>903.4-216.9</f>
        <v>686.5</v>
      </c>
      <c r="H737" s="344">
        <v>686.5</v>
      </c>
      <c r="I737" s="343">
        <f t="shared" si="52"/>
        <v>100</v>
      </c>
      <c r="J737" s="332"/>
    </row>
    <row r="738" spans="1:10" ht="38.25" customHeight="1" x14ac:dyDescent="0.25">
      <c r="A738" s="34" t="s">
        <v>721</v>
      </c>
      <c r="B738" s="337">
        <v>906</v>
      </c>
      <c r="C738" s="341" t="s">
        <v>280</v>
      </c>
      <c r="D738" s="341" t="s">
        <v>231</v>
      </c>
      <c r="E738" s="341" t="s">
        <v>463</v>
      </c>
      <c r="F738" s="341"/>
      <c r="G738" s="44">
        <f>G739+G743</f>
        <v>689</v>
      </c>
      <c r="H738" s="44">
        <f>H739+H743</f>
        <v>600</v>
      </c>
      <c r="I738" s="339">
        <f t="shared" si="52"/>
        <v>87.082728592162553</v>
      </c>
    </row>
    <row r="739" spans="1:10" s="218" customFormat="1" ht="30.75" hidden="1" customHeight="1" x14ac:dyDescent="0.25">
      <c r="A739" s="340" t="s">
        <v>1052</v>
      </c>
      <c r="B739" s="337">
        <v>906</v>
      </c>
      <c r="C739" s="341" t="s">
        <v>280</v>
      </c>
      <c r="D739" s="341" t="s">
        <v>231</v>
      </c>
      <c r="E739" s="341" t="s">
        <v>1233</v>
      </c>
      <c r="F739" s="341"/>
      <c r="G739" s="44">
        <f t="shared" ref="G739:H741" si="54">G740</f>
        <v>0</v>
      </c>
      <c r="H739" s="44">
        <f t="shared" si="54"/>
        <v>0</v>
      </c>
      <c r="I739" s="339" t="e">
        <f t="shared" si="52"/>
        <v>#DIV/0!</v>
      </c>
      <c r="J739" s="332"/>
    </row>
    <row r="740" spans="1:10" ht="31.5" hidden="1" x14ac:dyDescent="0.25">
      <c r="A740" s="45" t="s">
        <v>789</v>
      </c>
      <c r="B740" s="336">
        <v>906</v>
      </c>
      <c r="C740" s="338" t="s">
        <v>280</v>
      </c>
      <c r="D740" s="338" t="s">
        <v>231</v>
      </c>
      <c r="E740" s="338" t="s">
        <v>1234</v>
      </c>
      <c r="F740" s="338"/>
      <c r="G740" s="344">
        <f t="shared" si="54"/>
        <v>0</v>
      </c>
      <c r="H740" s="344">
        <f t="shared" si="54"/>
        <v>0</v>
      </c>
      <c r="I740" s="339" t="e">
        <f t="shared" si="52"/>
        <v>#DIV/0!</v>
      </c>
    </row>
    <row r="741" spans="1:10" ht="31.5" hidden="1" x14ac:dyDescent="0.25">
      <c r="A741" s="31" t="s">
        <v>288</v>
      </c>
      <c r="B741" s="336">
        <v>906</v>
      </c>
      <c r="C741" s="338" t="s">
        <v>280</v>
      </c>
      <c r="D741" s="338" t="s">
        <v>231</v>
      </c>
      <c r="E741" s="338" t="s">
        <v>1234</v>
      </c>
      <c r="F741" s="338" t="s">
        <v>289</v>
      </c>
      <c r="G741" s="344">
        <f t="shared" si="54"/>
        <v>0</v>
      </c>
      <c r="H741" s="344">
        <f t="shared" si="54"/>
        <v>0</v>
      </c>
      <c r="I741" s="339" t="e">
        <f t="shared" si="52"/>
        <v>#DIV/0!</v>
      </c>
    </row>
    <row r="742" spans="1:10" ht="15.75" hidden="1" x14ac:dyDescent="0.25">
      <c r="A742" s="31" t="s">
        <v>290</v>
      </c>
      <c r="B742" s="336">
        <v>906</v>
      </c>
      <c r="C742" s="338" t="s">
        <v>280</v>
      </c>
      <c r="D742" s="338" t="s">
        <v>231</v>
      </c>
      <c r="E742" s="338" t="s">
        <v>1234</v>
      </c>
      <c r="F742" s="338" t="s">
        <v>291</v>
      </c>
      <c r="G742" s="344">
        <v>0</v>
      </c>
      <c r="H742" s="344">
        <v>0</v>
      </c>
      <c r="I742" s="339" t="e">
        <f t="shared" si="52"/>
        <v>#DIV/0!</v>
      </c>
    </row>
    <row r="743" spans="1:10" s="218" customFormat="1" ht="31.5" x14ac:dyDescent="0.25">
      <c r="A743" s="231" t="s">
        <v>1077</v>
      </c>
      <c r="B743" s="337">
        <v>906</v>
      </c>
      <c r="C743" s="341" t="s">
        <v>280</v>
      </c>
      <c r="D743" s="341" t="s">
        <v>231</v>
      </c>
      <c r="E743" s="341" t="s">
        <v>1053</v>
      </c>
      <c r="F743" s="341"/>
      <c r="G743" s="44">
        <f t="shared" ref="G743:H745" si="55">G744</f>
        <v>689</v>
      </c>
      <c r="H743" s="44">
        <f t="shared" si="55"/>
        <v>600</v>
      </c>
      <c r="I743" s="339">
        <f t="shared" si="52"/>
        <v>87.082728592162553</v>
      </c>
      <c r="J743" s="332"/>
    </row>
    <row r="744" spans="1:10" ht="37.5" customHeight="1" x14ac:dyDescent="0.25">
      <c r="A744" s="45" t="s">
        <v>787</v>
      </c>
      <c r="B744" s="336">
        <v>906</v>
      </c>
      <c r="C744" s="338" t="s">
        <v>280</v>
      </c>
      <c r="D744" s="338" t="s">
        <v>231</v>
      </c>
      <c r="E744" s="338" t="s">
        <v>1054</v>
      </c>
      <c r="F744" s="338"/>
      <c r="G744" s="344">
        <f t="shared" si="55"/>
        <v>689</v>
      </c>
      <c r="H744" s="344">
        <f t="shared" si="55"/>
        <v>600</v>
      </c>
      <c r="I744" s="343">
        <f t="shared" si="52"/>
        <v>87.082728592162553</v>
      </c>
    </row>
    <row r="745" spans="1:10" ht="32.25" customHeight="1" x14ac:dyDescent="0.25">
      <c r="A745" s="342" t="s">
        <v>288</v>
      </c>
      <c r="B745" s="336">
        <v>906</v>
      </c>
      <c r="C745" s="338" t="s">
        <v>280</v>
      </c>
      <c r="D745" s="338" t="s">
        <v>231</v>
      </c>
      <c r="E745" s="338" t="s">
        <v>1054</v>
      </c>
      <c r="F745" s="338" t="s">
        <v>289</v>
      </c>
      <c r="G745" s="344">
        <f t="shared" si="55"/>
        <v>689</v>
      </c>
      <c r="H745" s="344">
        <f t="shared" si="55"/>
        <v>600</v>
      </c>
      <c r="I745" s="343">
        <f t="shared" si="52"/>
        <v>87.082728592162553</v>
      </c>
    </row>
    <row r="746" spans="1:10" ht="15.75" x14ac:dyDescent="0.25">
      <c r="A746" s="31" t="s">
        <v>290</v>
      </c>
      <c r="B746" s="336">
        <v>906</v>
      </c>
      <c r="C746" s="338" t="s">
        <v>280</v>
      </c>
      <c r="D746" s="338" t="s">
        <v>231</v>
      </c>
      <c r="E746" s="338" t="s">
        <v>1054</v>
      </c>
      <c r="F746" s="338" t="s">
        <v>291</v>
      </c>
      <c r="G746" s="344">
        <f>689</f>
        <v>689</v>
      </c>
      <c r="H746" s="344">
        <v>600</v>
      </c>
      <c r="I746" s="343">
        <f t="shared" si="52"/>
        <v>87.082728592162553</v>
      </c>
    </row>
    <row r="747" spans="1:10" ht="54.75" customHeight="1" x14ac:dyDescent="0.25">
      <c r="A747" s="41" t="s">
        <v>1179</v>
      </c>
      <c r="B747" s="337">
        <v>906</v>
      </c>
      <c r="C747" s="341" t="s">
        <v>280</v>
      </c>
      <c r="D747" s="341" t="s">
        <v>231</v>
      </c>
      <c r="E747" s="341" t="s">
        <v>728</v>
      </c>
      <c r="F747" s="235"/>
      <c r="G747" s="44">
        <f>G749</f>
        <v>300.7</v>
      </c>
      <c r="H747" s="44">
        <f>H749</f>
        <v>149.4</v>
      </c>
      <c r="I747" s="339">
        <f t="shared" si="52"/>
        <v>49.684070502161624</v>
      </c>
    </row>
    <row r="748" spans="1:10" s="218" customFormat="1" ht="54.75" customHeight="1" x14ac:dyDescent="0.25">
      <c r="A748" s="41" t="s">
        <v>949</v>
      </c>
      <c r="B748" s="337">
        <v>906</v>
      </c>
      <c r="C748" s="341" t="s">
        <v>280</v>
      </c>
      <c r="D748" s="341" t="s">
        <v>1055</v>
      </c>
      <c r="E748" s="341" t="s">
        <v>947</v>
      </c>
      <c r="F748" s="235"/>
      <c r="G748" s="44">
        <f t="shared" ref="G748:H750" si="56">G749</f>
        <v>300.7</v>
      </c>
      <c r="H748" s="44">
        <f t="shared" si="56"/>
        <v>149.4</v>
      </c>
      <c r="I748" s="339">
        <f t="shared" si="52"/>
        <v>49.684070502161624</v>
      </c>
      <c r="J748" s="332"/>
    </row>
    <row r="749" spans="1:10" ht="38.25" customHeight="1" x14ac:dyDescent="0.25">
      <c r="A749" s="99" t="s">
        <v>803</v>
      </c>
      <c r="B749" s="336">
        <v>906</v>
      </c>
      <c r="C749" s="338" t="s">
        <v>280</v>
      </c>
      <c r="D749" s="338" t="s">
        <v>231</v>
      </c>
      <c r="E749" s="338" t="s">
        <v>1027</v>
      </c>
      <c r="F749" s="32"/>
      <c r="G749" s="344">
        <f t="shared" si="56"/>
        <v>300.7</v>
      </c>
      <c r="H749" s="344">
        <f t="shared" si="56"/>
        <v>149.4</v>
      </c>
      <c r="I749" s="343">
        <f t="shared" si="52"/>
        <v>49.684070502161624</v>
      </c>
    </row>
    <row r="750" spans="1:10" ht="34.5" customHeight="1" x14ac:dyDescent="0.25">
      <c r="A750" s="345" t="s">
        <v>288</v>
      </c>
      <c r="B750" s="336">
        <v>906</v>
      </c>
      <c r="C750" s="338" t="s">
        <v>280</v>
      </c>
      <c r="D750" s="338" t="s">
        <v>231</v>
      </c>
      <c r="E750" s="338" t="s">
        <v>1027</v>
      </c>
      <c r="F750" s="32" t="s">
        <v>289</v>
      </c>
      <c r="G750" s="344">
        <f t="shared" si="56"/>
        <v>300.7</v>
      </c>
      <c r="H750" s="344">
        <f t="shared" si="56"/>
        <v>149.4</v>
      </c>
      <c r="I750" s="343">
        <f t="shared" si="52"/>
        <v>49.684070502161624</v>
      </c>
    </row>
    <row r="751" spans="1:10" ht="15.75" x14ac:dyDescent="0.25">
      <c r="A751" s="192" t="s">
        <v>290</v>
      </c>
      <c r="B751" s="336">
        <v>906</v>
      </c>
      <c r="C751" s="338" t="s">
        <v>280</v>
      </c>
      <c r="D751" s="338" t="s">
        <v>231</v>
      </c>
      <c r="E751" s="338" t="s">
        <v>1027</v>
      </c>
      <c r="F751" s="32" t="s">
        <v>291</v>
      </c>
      <c r="G751" s="344">
        <v>300.7</v>
      </c>
      <c r="H751" s="344">
        <v>149.4</v>
      </c>
      <c r="I751" s="343">
        <f t="shared" si="52"/>
        <v>49.684070502161624</v>
      </c>
    </row>
    <row r="752" spans="1:10" ht="21.2" customHeight="1" x14ac:dyDescent="0.25">
      <c r="A752" s="340" t="s">
        <v>482</v>
      </c>
      <c r="B752" s="337">
        <v>906</v>
      </c>
      <c r="C752" s="341" t="s">
        <v>280</v>
      </c>
      <c r="D752" s="341" t="s">
        <v>280</v>
      </c>
      <c r="E752" s="341"/>
      <c r="F752" s="341"/>
      <c r="G752" s="339">
        <f>G753</f>
        <v>5804.9</v>
      </c>
      <c r="H752" s="339">
        <f>H753</f>
        <v>2389.1999999999998</v>
      </c>
      <c r="I752" s="339">
        <f t="shared" si="52"/>
        <v>41.158331754207651</v>
      </c>
    </row>
    <row r="753" spans="1:10" ht="47.25" x14ac:dyDescent="0.25">
      <c r="A753" s="340" t="s">
        <v>442</v>
      </c>
      <c r="B753" s="337">
        <v>906</v>
      </c>
      <c r="C753" s="341" t="s">
        <v>280</v>
      </c>
      <c r="D753" s="341" t="s">
        <v>280</v>
      </c>
      <c r="E753" s="341" t="s">
        <v>422</v>
      </c>
      <c r="F753" s="341"/>
      <c r="G753" s="339">
        <f t="shared" ref="G753:H760" si="57">G754</f>
        <v>5804.9</v>
      </c>
      <c r="H753" s="339">
        <f t="shared" si="57"/>
        <v>2389.1999999999998</v>
      </c>
      <c r="I753" s="339">
        <f t="shared" si="52"/>
        <v>41.158331754207651</v>
      </c>
    </row>
    <row r="754" spans="1:10" ht="31.5" x14ac:dyDescent="0.25">
      <c r="A754" s="340" t="s">
        <v>483</v>
      </c>
      <c r="B754" s="337">
        <v>906</v>
      </c>
      <c r="C754" s="341" t="s">
        <v>280</v>
      </c>
      <c r="D754" s="341" t="s">
        <v>484</v>
      </c>
      <c r="E754" s="341" t="s">
        <v>485</v>
      </c>
      <c r="F754" s="341"/>
      <c r="G754" s="339">
        <f>G755</f>
        <v>5804.9</v>
      </c>
      <c r="H754" s="339">
        <f>H755</f>
        <v>2389.1999999999998</v>
      </c>
      <c r="I754" s="339">
        <f t="shared" si="52"/>
        <v>41.158331754207651</v>
      </c>
    </row>
    <row r="755" spans="1:10" s="218" customFormat="1" ht="31.5" x14ac:dyDescent="0.25">
      <c r="A755" s="340" t="s">
        <v>1056</v>
      </c>
      <c r="B755" s="337">
        <v>906</v>
      </c>
      <c r="C755" s="341" t="s">
        <v>280</v>
      </c>
      <c r="D755" s="341" t="s">
        <v>280</v>
      </c>
      <c r="E755" s="341" t="s">
        <v>1057</v>
      </c>
      <c r="F755" s="341"/>
      <c r="G755" s="339">
        <f>G756+G759</f>
        <v>5804.9</v>
      </c>
      <c r="H755" s="339">
        <f>H756+H759</f>
        <v>2389.1999999999998</v>
      </c>
      <c r="I755" s="339">
        <f t="shared" si="52"/>
        <v>41.158331754207651</v>
      </c>
      <c r="J755" s="332"/>
    </row>
    <row r="756" spans="1:10" ht="31.5" x14ac:dyDescent="0.25">
      <c r="A756" s="31" t="s">
        <v>1235</v>
      </c>
      <c r="B756" s="336">
        <v>906</v>
      </c>
      <c r="C756" s="338" t="s">
        <v>280</v>
      </c>
      <c r="D756" s="338" t="s">
        <v>280</v>
      </c>
      <c r="E756" s="338" t="s">
        <v>1058</v>
      </c>
      <c r="F756" s="338"/>
      <c r="G756" s="343">
        <f t="shared" si="57"/>
        <v>3584</v>
      </c>
      <c r="H756" s="343">
        <f t="shared" si="57"/>
        <v>2389.1999999999998</v>
      </c>
      <c r="I756" s="343">
        <f t="shared" si="52"/>
        <v>66.662946428571416</v>
      </c>
    </row>
    <row r="757" spans="1:10" ht="36" customHeight="1" x14ac:dyDescent="0.25">
      <c r="A757" s="342" t="s">
        <v>288</v>
      </c>
      <c r="B757" s="336">
        <v>906</v>
      </c>
      <c r="C757" s="338" t="s">
        <v>280</v>
      </c>
      <c r="D757" s="338" t="s">
        <v>280</v>
      </c>
      <c r="E757" s="338" t="s">
        <v>1058</v>
      </c>
      <c r="F757" s="338" t="s">
        <v>289</v>
      </c>
      <c r="G757" s="343">
        <f t="shared" si="57"/>
        <v>3584</v>
      </c>
      <c r="H757" s="343">
        <f t="shared" si="57"/>
        <v>2389.1999999999998</v>
      </c>
      <c r="I757" s="343">
        <f t="shared" si="52"/>
        <v>66.662946428571416</v>
      </c>
    </row>
    <row r="758" spans="1:10" ht="15.75" x14ac:dyDescent="0.25">
      <c r="A758" s="342" t="s">
        <v>290</v>
      </c>
      <c r="B758" s="336">
        <v>906</v>
      </c>
      <c r="C758" s="338" t="s">
        <v>280</v>
      </c>
      <c r="D758" s="338" t="s">
        <v>280</v>
      </c>
      <c r="E758" s="338" t="s">
        <v>1058</v>
      </c>
      <c r="F758" s="338" t="s">
        <v>291</v>
      </c>
      <c r="G758" s="344">
        <f>3485+99</f>
        <v>3584</v>
      </c>
      <c r="H758" s="344">
        <v>2389.1999999999998</v>
      </c>
      <c r="I758" s="343">
        <f t="shared" si="52"/>
        <v>66.662946428571416</v>
      </c>
    </row>
    <row r="759" spans="1:10" ht="38.25" customHeight="1" x14ac:dyDescent="0.25">
      <c r="A759" s="31" t="s">
        <v>490</v>
      </c>
      <c r="B759" s="336">
        <v>906</v>
      </c>
      <c r="C759" s="338" t="s">
        <v>280</v>
      </c>
      <c r="D759" s="338" t="s">
        <v>280</v>
      </c>
      <c r="E759" s="338" t="s">
        <v>1059</v>
      </c>
      <c r="F759" s="338"/>
      <c r="G759" s="343">
        <f t="shared" si="57"/>
        <v>2220.9</v>
      </c>
      <c r="H759" s="343">
        <f t="shared" si="57"/>
        <v>0</v>
      </c>
      <c r="I759" s="343">
        <f t="shared" si="52"/>
        <v>0</v>
      </c>
    </row>
    <row r="760" spans="1:10" ht="36.75" customHeight="1" x14ac:dyDescent="0.25">
      <c r="A760" s="342" t="s">
        <v>288</v>
      </c>
      <c r="B760" s="336">
        <v>906</v>
      </c>
      <c r="C760" s="338" t="s">
        <v>280</v>
      </c>
      <c r="D760" s="338" t="s">
        <v>280</v>
      </c>
      <c r="E760" s="338" t="s">
        <v>1059</v>
      </c>
      <c r="F760" s="338" t="s">
        <v>289</v>
      </c>
      <c r="G760" s="343">
        <f t="shared" si="57"/>
        <v>2220.9</v>
      </c>
      <c r="H760" s="343">
        <f t="shared" si="57"/>
        <v>0</v>
      </c>
      <c r="I760" s="343">
        <f t="shared" si="52"/>
        <v>0</v>
      </c>
    </row>
    <row r="761" spans="1:10" ht="15.75" x14ac:dyDescent="0.25">
      <c r="A761" s="342" t="s">
        <v>290</v>
      </c>
      <c r="B761" s="336">
        <v>906</v>
      </c>
      <c r="C761" s="338" t="s">
        <v>280</v>
      </c>
      <c r="D761" s="338" t="s">
        <v>280</v>
      </c>
      <c r="E761" s="338" t="s">
        <v>1059</v>
      </c>
      <c r="F761" s="338" t="s">
        <v>291</v>
      </c>
      <c r="G761" s="344">
        <v>2220.9</v>
      </c>
      <c r="H761" s="344">
        <v>0</v>
      </c>
      <c r="I761" s="343">
        <f t="shared" si="52"/>
        <v>0</v>
      </c>
    </row>
    <row r="762" spans="1:10" ht="15.75" x14ac:dyDescent="0.25">
      <c r="A762" s="340" t="s">
        <v>311</v>
      </c>
      <c r="B762" s="337">
        <v>906</v>
      </c>
      <c r="C762" s="341" t="s">
        <v>280</v>
      </c>
      <c r="D762" s="341" t="s">
        <v>235</v>
      </c>
      <c r="E762" s="341"/>
      <c r="F762" s="341"/>
      <c r="G762" s="339">
        <f>G763+G773</f>
        <v>20647.399999999998</v>
      </c>
      <c r="H762" s="339">
        <f>H763+H773</f>
        <v>9438.380000000001</v>
      </c>
      <c r="I762" s="343">
        <f t="shared" si="52"/>
        <v>45.712196208723626</v>
      </c>
    </row>
    <row r="763" spans="1:10" ht="31.5" x14ac:dyDescent="0.25">
      <c r="A763" s="340" t="s">
        <v>990</v>
      </c>
      <c r="B763" s="337">
        <v>906</v>
      </c>
      <c r="C763" s="341" t="s">
        <v>280</v>
      </c>
      <c r="D763" s="341" t="s">
        <v>235</v>
      </c>
      <c r="E763" s="341" t="s">
        <v>904</v>
      </c>
      <c r="F763" s="341"/>
      <c r="G763" s="339">
        <f>G764</f>
        <v>5934.2</v>
      </c>
      <c r="H763" s="339">
        <f>H764</f>
        <v>3063.1099999999997</v>
      </c>
      <c r="I763" s="343">
        <f t="shared" si="52"/>
        <v>51.617909743520606</v>
      </c>
    </row>
    <row r="764" spans="1:10" ht="15.75" x14ac:dyDescent="0.25">
      <c r="A764" s="340" t="s">
        <v>991</v>
      </c>
      <c r="B764" s="337">
        <v>906</v>
      </c>
      <c r="C764" s="341" t="s">
        <v>280</v>
      </c>
      <c r="D764" s="341" t="s">
        <v>235</v>
      </c>
      <c r="E764" s="341" t="s">
        <v>905</v>
      </c>
      <c r="F764" s="341"/>
      <c r="G764" s="339">
        <f>G765+G770</f>
        <v>5934.2</v>
      </c>
      <c r="H764" s="339">
        <f>H765+H770</f>
        <v>3063.1099999999997</v>
      </c>
      <c r="I764" s="343">
        <f t="shared" si="52"/>
        <v>51.617909743520606</v>
      </c>
    </row>
    <row r="765" spans="1:10" ht="36.75" customHeight="1" x14ac:dyDescent="0.25">
      <c r="A765" s="342" t="s">
        <v>967</v>
      </c>
      <c r="B765" s="336">
        <v>906</v>
      </c>
      <c r="C765" s="338" t="s">
        <v>280</v>
      </c>
      <c r="D765" s="338" t="s">
        <v>235</v>
      </c>
      <c r="E765" s="338" t="s">
        <v>906</v>
      </c>
      <c r="F765" s="338"/>
      <c r="G765" s="343">
        <f>G766+G768</f>
        <v>5808.2</v>
      </c>
      <c r="H765" s="343">
        <f>H766+H768</f>
        <v>2937.1099999999997</v>
      </c>
      <c r="I765" s="343">
        <f t="shared" si="52"/>
        <v>50.568334423745732</v>
      </c>
    </row>
    <row r="766" spans="1:10" ht="72" customHeight="1" x14ac:dyDescent="0.25">
      <c r="A766" s="342" t="s">
        <v>143</v>
      </c>
      <c r="B766" s="336">
        <v>906</v>
      </c>
      <c r="C766" s="338" t="s">
        <v>280</v>
      </c>
      <c r="D766" s="338" t="s">
        <v>235</v>
      </c>
      <c r="E766" s="338" t="s">
        <v>906</v>
      </c>
      <c r="F766" s="338" t="s">
        <v>144</v>
      </c>
      <c r="G766" s="343">
        <f>G767</f>
        <v>5596.2</v>
      </c>
      <c r="H766" s="343">
        <f>H767</f>
        <v>2837.37</v>
      </c>
      <c r="I766" s="343">
        <f t="shared" si="52"/>
        <v>50.701726171330542</v>
      </c>
    </row>
    <row r="767" spans="1:10" ht="31.5" x14ac:dyDescent="0.25">
      <c r="A767" s="342" t="s">
        <v>145</v>
      </c>
      <c r="B767" s="336">
        <v>906</v>
      </c>
      <c r="C767" s="338" t="s">
        <v>280</v>
      </c>
      <c r="D767" s="338" t="s">
        <v>235</v>
      </c>
      <c r="E767" s="338" t="s">
        <v>906</v>
      </c>
      <c r="F767" s="338" t="s">
        <v>146</v>
      </c>
      <c r="G767" s="344">
        <f>5247+267+82.2</f>
        <v>5596.2</v>
      </c>
      <c r="H767" s="344">
        <v>2837.37</v>
      </c>
      <c r="I767" s="343">
        <f t="shared" si="52"/>
        <v>50.701726171330542</v>
      </c>
    </row>
    <row r="768" spans="1:10" ht="31.5" x14ac:dyDescent="0.25">
      <c r="A768" s="342" t="s">
        <v>147</v>
      </c>
      <c r="B768" s="336">
        <v>906</v>
      </c>
      <c r="C768" s="338" t="s">
        <v>280</v>
      </c>
      <c r="D768" s="338" t="s">
        <v>235</v>
      </c>
      <c r="E768" s="338" t="s">
        <v>906</v>
      </c>
      <c r="F768" s="338" t="s">
        <v>148</v>
      </c>
      <c r="G768" s="343">
        <f>G769</f>
        <v>212</v>
      </c>
      <c r="H768" s="343">
        <f>H769</f>
        <v>99.74</v>
      </c>
      <c r="I768" s="343">
        <f t="shared" si="52"/>
        <v>47.047169811320757</v>
      </c>
    </row>
    <row r="769" spans="1:10" ht="31.5" x14ac:dyDescent="0.25">
      <c r="A769" s="342" t="s">
        <v>149</v>
      </c>
      <c r="B769" s="336">
        <v>906</v>
      </c>
      <c r="C769" s="338" t="s">
        <v>280</v>
      </c>
      <c r="D769" s="338" t="s">
        <v>235</v>
      </c>
      <c r="E769" s="338" t="s">
        <v>906</v>
      </c>
      <c r="F769" s="338" t="s">
        <v>150</v>
      </c>
      <c r="G769" s="343">
        <v>212</v>
      </c>
      <c r="H769" s="343">
        <v>99.74</v>
      </c>
      <c r="I769" s="343">
        <f t="shared" si="52"/>
        <v>47.047169811320757</v>
      </c>
    </row>
    <row r="770" spans="1:10" s="218" customFormat="1" ht="31.5" x14ac:dyDescent="0.25">
      <c r="A770" s="342" t="s">
        <v>885</v>
      </c>
      <c r="B770" s="336">
        <v>906</v>
      </c>
      <c r="C770" s="338" t="s">
        <v>280</v>
      </c>
      <c r="D770" s="338" t="s">
        <v>235</v>
      </c>
      <c r="E770" s="338" t="s">
        <v>908</v>
      </c>
      <c r="F770" s="338"/>
      <c r="G770" s="343">
        <f>G771</f>
        <v>126</v>
      </c>
      <c r="H770" s="343">
        <f>H771</f>
        <v>126</v>
      </c>
      <c r="I770" s="343">
        <f t="shared" si="52"/>
        <v>100</v>
      </c>
      <c r="J770" s="332"/>
    </row>
    <row r="771" spans="1:10" s="218" customFormat="1" ht="63" x14ac:dyDescent="0.25">
      <c r="A771" s="342" t="s">
        <v>143</v>
      </c>
      <c r="B771" s="336">
        <v>906</v>
      </c>
      <c r="C771" s="338" t="s">
        <v>280</v>
      </c>
      <c r="D771" s="338" t="s">
        <v>235</v>
      </c>
      <c r="E771" s="338" t="s">
        <v>908</v>
      </c>
      <c r="F771" s="338" t="s">
        <v>144</v>
      </c>
      <c r="G771" s="343">
        <f>G772</f>
        <v>126</v>
      </c>
      <c r="H771" s="343">
        <f>H772</f>
        <v>126</v>
      </c>
      <c r="I771" s="343">
        <f t="shared" si="52"/>
        <v>100</v>
      </c>
      <c r="J771" s="332"/>
    </row>
    <row r="772" spans="1:10" s="218" customFormat="1" ht="31.5" x14ac:dyDescent="0.25">
      <c r="A772" s="342" t="s">
        <v>145</v>
      </c>
      <c r="B772" s="336">
        <v>906</v>
      </c>
      <c r="C772" s="338" t="s">
        <v>280</v>
      </c>
      <c r="D772" s="338" t="s">
        <v>235</v>
      </c>
      <c r="E772" s="338" t="s">
        <v>908</v>
      </c>
      <c r="F772" s="338" t="s">
        <v>146</v>
      </c>
      <c r="G772" s="343">
        <v>126</v>
      </c>
      <c r="H772" s="343">
        <v>126</v>
      </c>
      <c r="I772" s="343">
        <f t="shared" si="52"/>
        <v>100</v>
      </c>
      <c r="J772" s="332"/>
    </row>
    <row r="773" spans="1:10" ht="15.75" x14ac:dyDescent="0.25">
      <c r="A773" s="340" t="s">
        <v>157</v>
      </c>
      <c r="B773" s="337">
        <v>906</v>
      </c>
      <c r="C773" s="341" t="s">
        <v>280</v>
      </c>
      <c r="D773" s="341" t="s">
        <v>235</v>
      </c>
      <c r="E773" s="341" t="s">
        <v>912</v>
      </c>
      <c r="F773" s="341"/>
      <c r="G773" s="339">
        <f>G774+G778</f>
        <v>14713.199999999999</v>
      </c>
      <c r="H773" s="339">
        <f>H774+H778</f>
        <v>6375.27</v>
      </c>
      <c r="I773" s="343">
        <f t="shared" si="52"/>
        <v>43.330274855232041</v>
      </c>
    </row>
    <row r="774" spans="1:10" s="218" customFormat="1" ht="31.5" x14ac:dyDescent="0.25">
      <c r="A774" s="340" t="s">
        <v>916</v>
      </c>
      <c r="B774" s="337">
        <v>906</v>
      </c>
      <c r="C774" s="341" t="s">
        <v>280</v>
      </c>
      <c r="D774" s="341" t="s">
        <v>235</v>
      </c>
      <c r="E774" s="341" t="s">
        <v>911</v>
      </c>
      <c r="F774" s="341"/>
      <c r="G774" s="339">
        <f t="shared" ref="G774:H776" si="58">G775</f>
        <v>550</v>
      </c>
      <c r="H774" s="339">
        <f t="shared" si="58"/>
        <v>64.39</v>
      </c>
      <c r="I774" s="343">
        <f t="shared" si="52"/>
        <v>11.707272727272727</v>
      </c>
      <c r="J774" s="332"/>
    </row>
    <row r="775" spans="1:10" ht="15.75" x14ac:dyDescent="0.25">
      <c r="A775" s="342" t="s">
        <v>494</v>
      </c>
      <c r="B775" s="336">
        <v>906</v>
      </c>
      <c r="C775" s="338" t="s">
        <v>280</v>
      </c>
      <c r="D775" s="338" t="s">
        <v>235</v>
      </c>
      <c r="E775" s="338" t="s">
        <v>1060</v>
      </c>
      <c r="F775" s="338"/>
      <c r="G775" s="343">
        <f t="shared" si="58"/>
        <v>550</v>
      </c>
      <c r="H775" s="343">
        <f t="shared" si="58"/>
        <v>64.39</v>
      </c>
      <c r="I775" s="343">
        <f t="shared" si="52"/>
        <v>11.707272727272727</v>
      </c>
    </row>
    <row r="776" spans="1:10" ht="31.5" x14ac:dyDescent="0.25">
      <c r="A776" s="342" t="s">
        <v>147</v>
      </c>
      <c r="B776" s="336">
        <v>906</v>
      </c>
      <c r="C776" s="338" t="s">
        <v>280</v>
      </c>
      <c r="D776" s="338" t="s">
        <v>235</v>
      </c>
      <c r="E776" s="338" t="s">
        <v>1060</v>
      </c>
      <c r="F776" s="338" t="s">
        <v>148</v>
      </c>
      <c r="G776" s="343">
        <f t="shared" si="58"/>
        <v>550</v>
      </c>
      <c r="H776" s="343">
        <f t="shared" si="58"/>
        <v>64.39</v>
      </c>
      <c r="I776" s="343">
        <f t="shared" si="52"/>
        <v>11.707272727272727</v>
      </c>
    </row>
    <row r="777" spans="1:10" ht="31.5" x14ac:dyDescent="0.25">
      <c r="A777" s="342" t="s">
        <v>149</v>
      </c>
      <c r="B777" s="336">
        <v>906</v>
      </c>
      <c r="C777" s="338" t="s">
        <v>280</v>
      </c>
      <c r="D777" s="338" t="s">
        <v>235</v>
      </c>
      <c r="E777" s="338" t="s">
        <v>1060</v>
      </c>
      <c r="F777" s="338" t="s">
        <v>150</v>
      </c>
      <c r="G777" s="343">
        <f>300+250</f>
        <v>550</v>
      </c>
      <c r="H777" s="343">
        <v>64.39</v>
      </c>
      <c r="I777" s="343">
        <f t="shared" si="52"/>
        <v>11.707272727272727</v>
      </c>
    </row>
    <row r="778" spans="1:10" s="218" customFormat="1" ht="31.5" x14ac:dyDescent="0.25">
      <c r="A778" s="340" t="s">
        <v>1002</v>
      </c>
      <c r="B778" s="337">
        <v>906</v>
      </c>
      <c r="C778" s="341" t="s">
        <v>280</v>
      </c>
      <c r="D778" s="341" t="s">
        <v>235</v>
      </c>
      <c r="E778" s="341" t="s">
        <v>987</v>
      </c>
      <c r="F778" s="341"/>
      <c r="G778" s="339">
        <f>G779+G786</f>
        <v>14163.199999999999</v>
      </c>
      <c r="H778" s="339">
        <f>H779+H786</f>
        <v>6310.88</v>
      </c>
      <c r="I778" s="343">
        <f t="shared" si="52"/>
        <v>44.558291911432448</v>
      </c>
      <c r="J778" s="332"/>
    </row>
    <row r="779" spans="1:10" ht="31.5" x14ac:dyDescent="0.25">
      <c r="A779" s="342" t="s">
        <v>1280</v>
      </c>
      <c r="B779" s="336">
        <v>906</v>
      </c>
      <c r="C779" s="338" t="s">
        <v>280</v>
      </c>
      <c r="D779" s="338" t="s">
        <v>235</v>
      </c>
      <c r="E779" s="338" t="s">
        <v>988</v>
      </c>
      <c r="F779" s="338"/>
      <c r="G779" s="343">
        <f>G780+G782+G784</f>
        <v>13827.199999999999</v>
      </c>
      <c r="H779" s="343">
        <f>H780+H782+H784</f>
        <v>6100.88</v>
      </c>
      <c r="I779" s="343">
        <f t="shared" ref="I779:I842" si="59">H779/G779*100</f>
        <v>44.122309650543862</v>
      </c>
    </row>
    <row r="780" spans="1:10" ht="61.5" customHeight="1" x14ac:dyDescent="0.25">
      <c r="A780" s="342" t="s">
        <v>143</v>
      </c>
      <c r="B780" s="336">
        <v>906</v>
      </c>
      <c r="C780" s="338" t="s">
        <v>280</v>
      </c>
      <c r="D780" s="338" t="s">
        <v>235</v>
      </c>
      <c r="E780" s="338" t="s">
        <v>988</v>
      </c>
      <c r="F780" s="338" t="s">
        <v>144</v>
      </c>
      <c r="G780" s="343">
        <f>G781</f>
        <v>12735.199999999999</v>
      </c>
      <c r="H780" s="343">
        <f>H781</f>
        <v>5801.78</v>
      </c>
      <c r="I780" s="343">
        <f t="shared" si="59"/>
        <v>45.557038758716004</v>
      </c>
    </row>
    <row r="781" spans="1:10" ht="15.75" x14ac:dyDescent="0.25">
      <c r="A781" s="342" t="s">
        <v>358</v>
      </c>
      <c r="B781" s="336">
        <v>906</v>
      </c>
      <c r="C781" s="338" t="s">
        <v>280</v>
      </c>
      <c r="D781" s="338" t="s">
        <v>235</v>
      </c>
      <c r="E781" s="338" t="s">
        <v>988</v>
      </c>
      <c r="F781" s="338" t="s">
        <v>225</v>
      </c>
      <c r="G781" s="344">
        <f>12517+180.9+25.3+12</f>
        <v>12735.199999999999</v>
      </c>
      <c r="H781" s="344">
        <v>5801.78</v>
      </c>
      <c r="I781" s="343">
        <f t="shared" si="59"/>
        <v>45.557038758716004</v>
      </c>
    </row>
    <row r="782" spans="1:10" ht="31.5" x14ac:dyDescent="0.25">
      <c r="A782" s="342" t="s">
        <v>147</v>
      </c>
      <c r="B782" s="336">
        <v>906</v>
      </c>
      <c r="C782" s="338" t="s">
        <v>280</v>
      </c>
      <c r="D782" s="338" t="s">
        <v>235</v>
      </c>
      <c r="E782" s="338" t="s">
        <v>988</v>
      </c>
      <c r="F782" s="338" t="s">
        <v>148</v>
      </c>
      <c r="G782" s="343">
        <f>G783</f>
        <v>1077</v>
      </c>
      <c r="H782" s="343">
        <f>H783</f>
        <v>299.10000000000002</v>
      </c>
      <c r="I782" s="343">
        <f t="shared" si="59"/>
        <v>27.771587743732596</v>
      </c>
    </row>
    <row r="783" spans="1:10" ht="33" customHeight="1" x14ac:dyDescent="0.25">
      <c r="A783" s="342" t="s">
        <v>149</v>
      </c>
      <c r="B783" s="336">
        <v>906</v>
      </c>
      <c r="C783" s="338" t="s">
        <v>280</v>
      </c>
      <c r="D783" s="338" t="s">
        <v>235</v>
      </c>
      <c r="E783" s="338" t="s">
        <v>988</v>
      </c>
      <c r="F783" s="338" t="s">
        <v>150</v>
      </c>
      <c r="G783" s="343">
        <f>1077</f>
        <v>1077</v>
      </c>
      <c r="H783" s="343">
        <v>299.10000000000002</v>
      </c>
      <c r="I783" s="343">
        <f t="shared" si="59"/>
        <v>27.771587743732596</v>
      </c>
    </row>
    <row r="784" spans="1:10" ht="15.75" x14ac:dyDescent="0.25">
      <c r="A784" s="342" t="s">
        <v>151</v>
      </c>
      <c r="B784" s="336">
        <v>906</v>
      </c>
      <c r="C784" s="338" t="s">
        <v>280</v>
      </c>
      <c r="D784" s="338" t="s">
        <v>235</v>
      </c>
      <c r="E784" s="338" t="s">
        <v>988</v>
      </c>
      <c r="F784" s="338" t="s">
        <v>161</v>
      </c>
      <c r="G784" s="343">
        <f>G785</f>
        <v>15</v>
      </c>
      <c r="H784" s="343">
        <f>H785</f>
        <v>0</v>
      </c>
      <c r="I784" s="343">
        <f t="shared" si="59"/>
        <v>0</v>
      </c>
    </row>
    <row r="785" spans="1:10" ht="15.75" x14ac:dyDescent="0.25">
      <c r="A785" s="342" t="s">
        <v>584</v>
      </c>
      <c r="B785" s="336">
        <v>906</v>
      </c>
      <c r="C785" s="338" t="s">
        <v>280</v>
      </c>
      <c r="D785" s="338" t="s">
        <v>235</v>
      </c>
      <c r="E785" s="338" t="s">
        <v>988</v>
      </c>
      <c r="F785" s="338" t="s">
        <v>154</v>
      </c>
      <c r="G785" s="343">
        <f>15.4-0.4</f>
        <v>15</v>
      </c>
      <c r="H785" s="343">
        <v>0</v>
      </c>
      <c r="I785" s="343">
        <f t="shared" si="59"/>
        <v>0</v>
      </c>
    </row>
    <row r="786" spans="1:10" s="218" customFormat="1" ht="31.5" x14ac:dyDescent="0.25">
      <c r="A786" s="342" t="s">
        <v>885</v>
      </c>
      <c r="B786" s="336">
        <v>906</v>
      </c>
      <c r="C786" s="338" t="s">
        <v>280</v>
      </c>
      <c r="D786" s="338" t="s">
        <v>235</v>
      </c>
      <c r="E786" s="338" t="s">
        <v>989</v>
      </c>
      <c r="F786" s="338"/>
      <c r="G786" s="343">
        <f>G787</f>
        <v>336</v>
      </c>
      <c r="H786" s="343">
        <f>H787</f>
        <v>210</v>
      </c>
      <c r="I786" s="343">
        <f t="shared" si="59"/>
        <v>62.5</v>
      </c>
      <c r="J786" s="332"/>
    </row>
    <row r="787" spans="1:10" s="218" customFormat="1" ht="63" x14ac:dyDescent="0.25">
      <c r="A787" s="342" t="s">
        <v>143</v>
      </c>
      <c r="B787" s="336">
        <v>906</v>
      </c>
      <c r="C787" s="338" t="s">
        <v>280</v>
      </c>
      <c r="D787" s="338" t="s">
        <v>235</v>
      </c>
      <c r="E787" s="338" t="s">
        <v>989</v>
      </c>
      <c r="F787" s="338" t="s">
        <v>144</v>
      </c>
      <c r="G787" s="343">
        <f>G788</f>
        <v>336</v>
      </c>
      <c r="H787" s="343">
        <f>H788</f>
        <v>210</v>
      </c>
      <c r="I787" s="343">
        <f t="shared" si="59"/>
        <v>62.5</v>
      </c>
      <c r="J787" s="332"/>
    </row>
    <row r="788" spans="1:10" s="218" customFormat="1" ht="15.75" x14ac:dyDescent="0.25">
      <c r="A788" s="342" t="s">
        <v>358</v>
      </c>
      <c r="B788" s="336">
        <v>906</v>
      </c>
      <c r="C788" s="338" t="s">
        <v>280</v>
      </c>
      <c r="D788" s="338" t="s">
        <v>235</v>
      </c>
      <c r="E788" s="338" t="s">
        <v>989</v>
      </c>
      <c r="F788" s="338" t="s">
        <v>225</v>
      </c>
      <c r="G788" s="343">
        <v>336</v>
      </c>
      <c r="H788" s="343">
        <v>210</v>
      </c>
      <c r="I788" s="343">
        <f t="shared" si="59"/>
        <v>62.5</v>
      </c>
      <c r="J788" s="332"/>
    </row>
    <row r="789" spans="1:10" ht="36.75" customHeight="1" x14ac:dyDescent="0.25">
      <c r="A789" s="337" t="s">
        <v>496</v>
      </c>
      <c r="B789" s="337">
        <v>907</v>
      </c>
      <c r="C789" s="338"/>
      <c r="D789" s="338"/>
      <c r="E789" s="338"/>
      <c r="F789" s="338"/>
      <c r="G789" s="339">
        <f>G797+G790</f>
        <v>66134.7304</v>
      </c>
      <c r="H789" s="339">
        <f>H797+H790</f>
        <v>32222.149999999998</v>
      </c>
      <c r="I789" s="339">
        <f t="shared" si="59"/>
        <v>48.721979820756928</v>
      </c>
    </row>
    <row r="790" spans="1:10" s="218" customFormat="1" ht="18.75" customHeight="1" x14ac:dyDescent="0.25">
      <c r="A790" s="340" t="s">
        <v>133</v>
      </c>
      <c r="B790" s="337">
        <v>907</v>
      </c>
      <c r="C790" s="341" t="s">
        <v>134</v>
      </c>
      <c r="D790" s="341"/>
      <c r="E790" s="341"/>
      <c r="F790" s="341"/>
      <c r="G790" s="339">
        <f t="shared" ref="G790:H791" si="60">G791</f>
        <v>70</v>
      </c>
      <c r="H790" s="339">
        <f t="shared" si="60"/>
        <v>70</v>
      </c>
      <c r="I790" s="339">
        <f t="shared" si="59"/>
        <v>100</v>
      </c>
      <c r="J790" s="332"/>
    </row>
    <row r="791" spans="1:10" s="218" customFormat="1" ht="21.75" customHeight="1" x14ac:dyDescent="0.25">
      <c r="A791" s="34" t="s">
        <v>155</v>
      </c>
      <c r="B791" s="337">
        <v>907</v>
      </c>
      <c r="C791" s="341" t="s">
        <v>134</v>
      </c>
      <c r="D791" s="341" t="s">
        <v>156</v>
      </c>
      <c r="E791" s="341"/>
      <c r="F791" s="341"/>
      <c r="G791" s="339">
        <f t="shared" si="60"/>
        <v>70</v>
      </c>
      <c r="H791" s="339">
        <f t="shared" si="60"/>
        <v>70</v>
      </c>
      <c r="I791" s="339">
        <f t="shared" si="59"/>
        <v>100</v>
      </c>
      <c r="J791" s="332"/>
    </row>
    <row r="792" spans="1:10" s="218" customFormat="1" ht="56.25" customHeight="1" x14ac:dyDescent="0.25">
      <c r="A792" s="340" t="s">
        <v>350</v>
      </c>
      <c r="B792" s="337">
        <v>907</v>
      </c>
      <c r="C792" s="341" t="s">
        <v>134</v>
      </c>
      <c r="D792" s="341" t="s">
        <v>156</v>
      </c>
      <c r="E792" s="341" t="s">
        <v>351</v>
      </c>
      <c r="F792" s="341"/>
      <c r="G792" s="339">
        <f t="shared" ref="G792:H795" si="61">G793</f>
        <v>70</v>
      </c>
      <c r="H792" s="339">
        <f t="shared" si="61"/>
        <v>70</v>
      </c>
      <c r="I792" s="339">
        <f t="shared" si="59"/>
        <v>100</v>
      </c>
      <c r="J792" s="332"/>
    </row>
    <row r="793" spans="1:10" s="218" customFormat="1" ht="36.75" customHeight="1" x14ac:dyDescent="0.25">
      <c r="A793" s="225" t="s">
        <v>1225</v>
      </c>
      <c r="B793" s="337">
        <v>907</v>
      </c>
      <c r="C793" s="341" t="s">
        <v>134</v>
      </c>
      <c r="D793" s="341" t="s">
        <v>156</v>
      </c>
      <c r="E793" s="341" t="s">
        <v>1226</v>
      </c>
      <c r="F793" s="341"/>
      <c r="G793" s="339">
        <f t="shared" si="61"/>
        <v>70</v>
      </c>
      <c r="H793" s="339">
        <f t="shared" si="61"/>
        <v>70</v>
      </c>
      <c r="I793" s="339">
        <f t="shared" si="59"/>
        <v>100</v>
      </c>
      <c r="J793" s="332"/>
    </row>
    <row r="794" spans="1:10" s="218" customFormat="1" ht="36.75" customHeight="1" x14ac:dyDescent="0.25">
      <c r="A794" s="98" t="s">
        <v>352</v>
      </c>
      <c r="B794" s="336">
        <v>907</v>
      </c>
      <c r="C794" s="338" t="s">
        <v>134</v>
      </c>
      <c r="D794" s="338" t="s">
        <v>156</v>
      </c>
      <c r="E794" s="338" t="s">
        <v>1227</v>
      </c>
      <c r="F794" s="338"/>
      <c r="G794" s="343">
        <f t="shared" si="61"/>
        <v>70</v>
      </c>
      <c r="H794" s="343">
        <f t="shared" si="61"/>
        <v>70</v>
      </c>
      <c r="I794" s="343">
        <f t="shared" si="59"/>
        <v>100</v>
      </c>
      <c r="J794" s="332"/>
    </row>
    <row r="795" spans="1:10" s="218" customFormat="1" ht="36.75" customHeight="1" x14ac:dyDescent="0.25">
      <c r="A795" s="342" t="s">
        <v>147</v>
      </c>
      <c r="B795" s="336">
        <v>907</v>
      </c>
      <c r="C795" s="338" t="s">
        <v>134</v>
      </c>
      <c r="D795" s="338" t="s">
        <v>156</v>
      </c>
      <c r="E795" s="338" t="s">
        <v>1227</v>
      </c>
      <c r="F795" s="338" t="s">
        <v>148</v>
      </c>
      <c r="G795" s="343">
        <f t="shared" si="61"/>
        <v>70</v>
      </c>
      <c r="H795" s="343">
        <f t="shared" si="61"/>
        <v>70</v>
      </c>
      <c r="I795" s="343">
        <f t="shared" si="59"/>
        <v>100</v>
      </c>
      <c r="J795" s="332"/>
    </row>
    <row r="796" spans="1:10" s="218" customFormat="1" ht="36.75" customHeight="1" x14ac:dyDescent="0.25">
      <c r="A796" s="342" t="s">
        <v>149</v>
      </c>
      <c r="B796" s="336">
        <v>907</v>
      </c>
      <c r="C796" s="338" t="s">
        <v>134</v>
      </c>
      <c r="D796" s="338" t="s">
        <v>156</v>
      </c>
      <c r="E796" s="338" t="s">
        <v>1227</v>
      </c>
      <c r="F796" s="338" t="s">
        <v>150</v>
      </c>
      <c r="G796" s="343">
        <v>70</v>
      </c>
      <c r="H796" s="343">
        <v>70</v>
      </c>
      <c r="I796" s="343">
        <f t="shared" si="59"/>
        <v>100</v>
      </c>
      <c r="J796" s="332"/>
    </row>
    <row r="797" spans="1:10" ht="15.75" x14ac:dyDescent="0.25">
      <c r="A797" s="340" t="s">
        <v>506</v>
      </c>
      <c r="B797" s="337">
        <v>907</v>
      </c>
      <c r="C797" s="341" t="s">
        <v>507</v>
      </c>
      <c r="D797" s="338"/>
      <c r="E797" s="338"/>
      <c r="F797" s="338"/>
      <c r="G797" s="339">
        <f>G798+G855</f>
        <v>66064.7304</v>
      </c>
      <c r="H797" s="339">
        <f>H798+H855</f>
        <v>32152.149999999998</v>
      </c>
      <c r="I797" s="339">
        <f t="shared" si="59"/>
        <v>48.667647329111027</v>
      </c>
    </row>
    <row r="798" spans="1:10" s="218" customFormat="1" ht="15.75" x14ac:dyDescent="0.25">
      <c r="A798" s="340" t="s">
        <v>508</v>
      </c>
      <c r="B798" s="337">
        <v>907</v>
      </c>
      <c r="C798" s="341" t="s">
        <v>507</v>
      </c>
      <c r="D798" s="341" t="s">
        <v>134</v>
      </c>
      <c r="E798" s="338"/>
      <c r="F798" s="338"/>
      <c r="G798" s="339">
        <f>G803+G850</f>
        <v>52846.530400000003</v>
      </c>
      <c r="H798" s="339">
        <f>H803+H850</f>
        <v>25763.1</v>
      </c>
      <c r="I798" s="339">
        <f t="shared" si="59"/>
        <v>48.750787998751946</v>
      </c>
      <c r="J798" s="332"/>
    </row>
    <row r="799" spans="1:10" s="218" customFormat="1" ht="47.25" hidden="1" x14ac:dyDescent="0.25">
      <c r="A799" s="340" t="s">
        <v>1171</v>
      </c>
      <c r="B799" s="337">
        <v>907</v>
      </c>
      <c r="C799" s="341" t="s">
        <v>507</v>
      </c>
      <c r="D799" s="341" t="s">
        <v>134</v>
      </c>
      <c r="E799" s="341" t="s">
        <v>1116</v>
      </c>
      <c r="F799" s="338"/>
      <c r="G799" s="339">
        <f t="shared" ref="G799:H801" si="62">G800</f>
        <v>0</v>
      </c>
      <c r="H799" s="339">
        <f t="shared" si="62"/>
        <v>0</v>
      </c>
      <c r="I799" s="339" t="e">
        <f t="shared" si="59"/>
        <v>#DIV/0!</v>
      </c>
      <c r="J799" s="332"/>
    </row>
    <row r="800" spans="1:10" s="218" customFormat="1" ht="31.5" hidden="1" x14ac:dyDescent="0.25">
      <c r="A800" s="342" t="s">
        <v>1506</v>
      </c>
      <c r="B800" s="336">
        <v>907</v>
      </c>
      <c r="C800" s="338" t="s">
        <v>507</v>
      </c>
      <c r="D800" s="338" t="s">
        <v>134</v>
      </c>
      <c r="E800" s="338" t="s">
        <v>1505</v>
      </c>
      <c r="F800" s="338"/>
      <c r="G800" s="343">
        <f t="shared" si="62"/>
        <v>0</v>
      </c>
      <c r="H800" s="343">
        <f t="shared" si="62"/>
        <v>0</v>
      </c>
      <c r="I800" s="339" t="e">
        <f t="shared" si="59"/>
        <v>#DIV/0!</v>
      </c>
      <c r="J800" s="332"/>
    </row>
    <row r="801" spans="1:10" s="218" customFormat="1" ht="31.5" hidden="1" x14ac:dyDescent="0.25">
      <c r="A801" s="342" t="s">
        <v>147</v>
      </c>
      <c r="B801" s="336">
        <v>907</v>
      </c>
      <c r="C801" s="338" t="s">
        <v>507</v>
      </c>
      <c r="D801" s="338" t="s">
        <v>134</v>
      </c>
      <c r="E801" s="338" t="s">
        <v>1505</v>
      </c>
      <c r="F801" s="338" t="s">
        <v>148</v>
      </c>
      <c r="G801" s="343">
        <f t="shared" si="62"/>
        <v>0</v>
      </c>
      <c r="H801" s="343">
        <f t="shared" si="62"/>
        <v>0</v>
      </c>
      <c r="I801" s="339" t="e">
        <f t="shared" si="59"/>
        <v>#DIV/0!</v>
      </c>
      <c r="J801" s="332"/>
    </row>
    <row r="802" spans="1:10" s="218" customFormat="1" ht="31.5" hidden="1" x14ac:dyDescent="0.25">
      <c r="A802" s="342" t="s">
        <v>149</v>
      </c>
      <c r="B802" s="336">
        <v>907</v>
      </c>
      <c r="C802" s="338" t="s">
        <v>507</v>
      </c>
      <c r="D802" s="338" t="s">
        <v>134</v>
      </c>
      <c r="E802" s="338" t="s">
        <v>1505</v>
      </c>
      <c r="F802" s="338" t="s">
        <v>150</v>
      </c>
      <c r="G802" s="343">
        <v>0</v>
      </c>
      <c r="H802" s="343">
        <v>0</v>
      </c>
      <c r="I802" s="339" t="e">
        <f t="shared" si="59"/>
        <v>#DIV/0!</v>
      </c>
      <c r="J802" s="332"/>
    </row>
    <row r="803" spans="1:10" s="218" customFormat="1" ht="47.25" x14ac:dyDescent="0.25">
      <c r="A803" s="340" t="s">
        <v>497</v>
      </c>
      <c r="B803" s="337">
        <v>907</v>
      </c>
      <c r="C803" s="341" t="s">
        <v>507</v>
      </c>
      <c r="D803" s="341" t="s">
        <v>134</v>
      </c>
      <c r="E803" s="341" t="s">
        <v>498</v>
      </c>
      <c r="F803" s="341"/>
      <c r="G803" s="339">
        <f>G804</f>
        <v>52306.430400000005</v>
      </c>
      <c r="H803" s="339">
        <f>H804</f>
        <v>25568.66</v>
      </c>
      <c r="I803" s="339">
        <f t="shared" si="59"/>
        <v>48.882441039218762</v>
      </c>
      <c r="J803" s="332"/>
    </row>
    <row r="804" spans="1:10" ht="47.25" x14ac:dyDescent="0.25">
      <c r="A804" s="340" t="s">
        <v>509</v>
      </c>
      <c r="B804" s="337">
        <v>907</v>
      </c>
      <c r="C804" s="341" t="s">
        <v>507</v>
      </c>
      <c r="D804" s="341" t="s">
        <v>134</v>
      </c>
      <c r="E804" s="341" t="s">
        <v>510</v>
      </c>
      <c r="F804" s="341"/>
      <c r="G804" s="339">
        <f>G805+G815+G825+G832+G839+G843</f>
        <v>52306.430400000005</v>
      </c>
      <c r="H804" s="339">
        <f>H805+H815+H825+H832+H839+H843</f>
        <v>25568.66</v>
      </c>
      <c r="I804" s="339">
        <f t="shared" si="59"/>
        <v>48.882441039218762</v>
      </c>
    </row>
    <row r="805" spans="1:10" ht="31.5" x14ac:dyDescent="0.25">
      <c r="A805" s="340" t="s">
        <v>1028</v>
      </c>
      <c r="B805" s="337">
        <v>907</v>
      </c>
      <c r="C805" s="341" t="s">
        <v>507</v>
      </c>
      <c r="D805" s="341" t="s">
        <v>134</v>
      </c>
      <c r="E805" s="341" t="s">
        <v>1061</v>
      </c>
      <c r="F805" s="341"/>
      <c r="G805" s="339">
        <f>G806+G809+G812</f>
        <v>44780.4</v>
      </c>
      <c r="H805" s="339">
        <f>H806+H809+H812</f>
        <v>23397.260000000002</v>
      </c>
      <c r="I805" s="339">
        <f t="shared" si="59"/>
        <v>52.248885673196312</v>
      </c>
    </row>
    <row r="806" spans="1:10" ht="47.25" x14ac:dyDescent="0.25">
      <c r="A806" s="342" t="s">
        <v>1463</v>
      </c>
      <c r="B806" s="336">
        <v>907</v>
      </c>
      <c r="C806" s="338" t="s">
        <v>507</v>
      </c>
      <c r="D806" s="338" t="s">
        <v>134</v>
      </c>
      <c r="E806" s="338" t="s">
        <v>1071</v>
      </c>
      <c r="F806" s="338"/>
      <c r="G806" s="343">
        <f>G807</f>
        <v>12963.2</v>
      </c>
      <c r="H806" s="343">
        <f>H807</f>
        <v>6783.21</v>
      </c>
      <c r="I806" s="343">
        <f t="shared" si="59"/>
        <v>52.326663169587754</v>
      </c>
    </row>
    <row r="807" spans="1:10" ht="36" customHeight="1" x14ac:dyDescent="0.25">
      <c r="A807" s="342" t="s">
        <v>288</v>
      </c>
      <c r="B807" s="336">
        <v>907</v>
      </c>
      <c r="C807" s="338" t="s">
        <v>507</v>
      </c>
      <c r="D807" s="338" t="s">
        <v>134</v>
      </c>
      <c r="E807" s="338" t="s">
        <v>1071</v>
      </c>
      <c r="F807" s="338" t="s">
        <v>289</v>
      </c>
      <c r="G807" s="343">
        <f>G808</f>
        <v>12963.2</v>
      </c>
      <c r="H807" s="343">
        <f>H808</f>
        <v>6783.21</v>
      </c>
      <c r="I807" s="343">
        <f t="shared" si="59"/>
        <v>52.326663169587754</v>
      </c>
    </row>
    <row r="808" spans="1:10" ht="15.75" x14ac:dyDescent="0.25">
      <c r="A808" s="342" t="s">
        <v>290</v>
      </c>
      <c r="B808" s="336">
        <v>907</v>
      </c>
      <c r="C808" s="338" t="s">
        <v>507</v>
      </c>
      <c r="D808" s="338" t="s">
        <v>134</v>
      </c>
      <c r="E808" s="338" t="s">
        <v>1071</v>
      </c>
      <c r="F808" s="338" t="s">
        <v>291</v>
      </c>
      <c r="G808" s="344">
        <f>12832.4-0.4+776-500-55.5-89.3</f>
        <v>12963.2</v>
      </c>
      <c r="H808" s="344">
        <v>6783.21</v>
      </c>
      <c r="I808" s="343">
        <f t="shared" si="59"/>
        <v>52.326663169587754</v>
      </c>
      <c r="J808" s="109"/>
    </row>
    <row r="809" spans="1:10" s="218" customFormat="1" ht="47.25" x14ac:dyDescent="0.25">
      <c r="A809" s="342" t="s">
        <v>1461</v>
      </c>
      <c r="B809" s="336">
        <v>907</v>
      </c>
      <c r="C809" s="338" t="s">
        <v>507</v>
      </c>
      <c r="D809" s="338" t="s">
        <v>134</v>
      </c>
      <c r="E809" s="338" t="s">
        <v>1072</v>
      </c>
      <c r="F809" s="338"/>
      <c r="G809" s="343">
        <f>G810</f>
        <v>13290.199999999999</v>
      </c>
      <c r="H809" s="343">
        <f>H810</f>
        <v>7269.43</v>
      </c>
      <c r="I809" s="343">
        <f t="shared" si="59"/>
        <v>54.697671968819137</v>
      </c>
      <c r="J809" s="109"/>
    </row>
    <row r="810" spans="1:10" s="218" customFormat="1" ht="31.5" x14ac:dyDescent="0.25">
      <c r="A810" s="342" t="s">
        <v>288</v>
      </c>
      <c r="B810" s="336">
        <v>907</v>
      </c>
      <c r="C810" s="338" t="s">
        <v>507</v>
      </c>
      <c r="D810" s="338" t="s">
        <v>134</v>
      </c>
      <c r="E810" s="338" t="s">
        <v>1072</v>
      </c>
      <c r="F810" s="338" t="s">
        <v>289</v>
      </c>
      <c r="G810" s="343">
        <f>G811</f>
        <v>13290.199999999999</v>
      </c>
      <c r="H810" s="343">
        <f>H811</f>
        <v>7269.43</v>
      </c>
      <c r="I810" s="343">
        <f t="shared" si="59"/>
        <v>54.697671968819137</v>
      </c>
      <c r="J810" s="109"/>
    </row>
    <row r="811" spans="1:10" s="218" customFormat="1" ht="15.75" x14ac:dyDescent="0.25">
      <c r="A811" s="342" t="s">
        <v>290</v>
      </c>
      <c r="B811" s="336">
        <v>907</v>
      </c>
      <c r="C811" s="338" t="s">
        <v>507</v>
      </c>
      <c r="D811" s="338" t="s">
        <v>134</v>
      </c>
      <c r="E811" s="338" t="s">
        <v>1072</v>
      </c>
      <c r="F811" s="338" t="s">
        <v>291</v>
      </c>
      <c r="G811" s="343">
        <f>12897+253.9+89.3+50</f>
        <v>13290.199999999999</v>
      </c>
      <c r="H811" s="343">
        <v>7269.43</v>
      </c>
      <c r="I811" s="343">
        <f t="shared" si="59"/>
        <v>54.697671968819137</v>
      </c>
      <c r="J811" s="109"/>
    </row>
    <row r="812" spans="1:10" s="218" customFormat="1" ht="47.25" x14ac:dyDescent="0.25">
      <c r="A812" s="342" t="s">
        <v>1462</v>
      </c>
      <c r="B812" s="336">
        <v>907</v>
      </c>
      <c r="C812" s="338" t="s">
        <v>507</v>
      </c>
      <c r="D812" s="338" t="s">
        <v>134</v>
      </c>
      <c r="E812" s="338" t="s">
        <v>1073</v>
      </c>
      <c r="F812" s="338"/>
      <c r="G812" s="343">
        <f>G813</f>
        <v>18527</v>
      </c>
      <c r="H812" s="343">
        <f>H813</f>
        <v>9344.6200000000008</v>
      </c>
      <c r="I812" s="343">
        <f t="shared" si="59"/>
        <v>50.437847465860642</v>
      </c>
      <c r="J812" s="109"/>
    </row>
    <row r="813" spans="1:10" s="218" customFormat="1" ht="31.5" x14ac:dyDescent="0.25">
      <c r="A813" s="342" t="s">
        <v>288</v>
      </c>
      <c r="B813" s="336">
        <v>907</v>
      </c>
      <c r="C813" s="338" t="s">
        <v>507</v>
      </c>
      <c r="D813" s="338" t="s">
        <v>134</v>
      </c>
      <c r="E813" s="338" t="s">
        <v>1073</v>
      </c>
      <c r="F813" s="338" t="s">
        <v>289</v>
      </c>
      <c r="G813" s="343">
        <f>G814</f>
        <v>18527</v>
      </c>
      <c r="H813" s="343">
        <f>H814</f>
        <v>9344.6200000000008</v>
      </c>
      <c r="I813" s="343">
        <f t="shared" si="59"/>
        <v>50.437847465860642</v>
      </c>
      <c r="J813" s="109"/>
    </row>
    <row r="814" spans="1:10" s="218" customFormat="1" ht="15.75" x14ac:dyDescent="0.25">
      <c r="A814" s="342" t="s">
        <v>290</v>
      </c>
      <c r="B814" s="336">
        <v>907</v>
      </c>
      <c r="C814" s="338" t="s">
        <v>507</v>
      </c>
      <c r="D814" s="338" t="s">
        <v>134</v>
      </c>
      <c r="E814" s="338" t="s">
        <v>1073</v>
      </c>
      <c r="F814" s="338" t="s">
        <v>291</v>
      </c>
      <c r="G814" s="343">
        <f>18577-50</f>
        <v>18527</v>
      </c>
      <c r="H814" s="343">
        <v>9344.6200000000008</v>
      </c>
      <c r="I814" s="343">
        <f t="shared" si="59"/>
        <v>50.437847465860642</v>
      </c>
      <c r="J814" s="109"/>
    </row>
    <row r="815" spans="1:10" s="218" customFormat="1" ht="15.75" x14ac:dyDescent="0.25">
      <c r="A815" s="340" t="s">
        <v>1074</v>
      </c>
      <c r="B815" s="337">
        <v>907</v>
      </c>
      <c r="C815" s="341" t="s">
        <v>507</v>
      </c>
      <c r="D815" s="341" t="s">
        <v>134</v>
      </c>
      <c r="E815" s="341" t="s">
        <v>1075</v>
      </c>
      <c r="F815" s="341"/>
      <c r="G815" s="44">
        <f>G816+G819+G822</f>
        <v>36</v>
      </c>
      <c r="H815" s="44">
        <f>H816+H819+H822</f>
        <v>36</v>
      </c>
      <c r="I815" s="339">
        <f t="shared" si="59"/>
        <v>100</v>
      </c>
      <c r="J815" s="109"/>
    </row>
    <row r="816" spans="1:10" ht="31.7" hidden="1" customHeight="1" x14ac:dyDescent="0.25">
      <c r="A816" s="342" t="s">
        <v>294</v>
      </c>
      <c r="B816" s="336">
        <v>907</v>
      </c>
      <c r="C816" s="338" t="s">
        <v>507</v>
      </c>
      <c r="D816" s="338" t="s">
        <v>134</v>
      </c>
      <c r="E816" s="338" t="s">
        <v>1079</v>
      </c>
      <c r="F816" s="338"/>
      <c r="G816" s="343">
        <f>G817</f>
        <v>0</v>
      </c>
      <c r="H816" s="343">
        <f>H817</f>
        <v>0</v>
      </c>
      <c r="I816" s="343" t="e">
        <f t="shared" si="59"/>
        <v>#DIV/0!</v>
      </c>
      <c r="J816" s="324"/>
    </row>
    <row r="817" spans="1:10" ht="31.5" hidden="1" x14ac:dyDescent="0.25">
      <c r="A817" s="342" t="s">
        <v>288</v>
      </c>
      <c r="B817" s="336">
        <v>907</v>
      </c>
      <c r="C817" s="338" t="s">
        <v>507</v>
      </c>
      <c r="D817" s="338" t="s">
        <v>134</v>
      </c>
      <c r="E817" s="338" t="s">
        <v>1079</v>
      </c>
      <c r="F817" s="338" t="s">
        <v>289</v>
      </c>
      <c r="G817" s="343">
        <f>G818</f>
        <v>0</v>
      </c>
      <c r="H817" s="343">
        <f>H818</f>
        <v>0</v>
      </c>
      <c r="I817" s="343" t="e">
        <f t="shared" si="59"/>
        <v>#DIV/0!</v>
      </c>
      <c r="J817" s="109"/>
    </row>
    <row r="818" spans="1:10" ht="15.75" hidden="1" x14ac:dyDescent="0.25">
      <c r="A818" s="342" t="s">
        <v>290</v>
      </c>
      <c r="B818" s="336">
        <v>907</v>
      </c>
      <c r="C818" s="338" t="s">
        <v>507</v>
      </c>
      <c r="D818" s="338" t="s">
        <v>134</v>
      </c>
      <c r="E818" s="338" t="s">
        <v>1079</v>
      </c>
      <c r="F818" s="338" t="s">
        <v>291</v>
      </c>
      <c r="G818" s="343">
        <v>0</v>
      </c>
      <c r="H818" s="343">
        <v>0</v>
      </c>
      <c r="I818" s="343" t="e">
        <f t="shared" si="59"/>
        <v>#DIV/0!</v>
      </c>
      <c r="J818" s="109"/>
    </row>
    <row r="819" spans="1:10" ht="33" hidden="1" customHeight="1" x14ac:dyDescent="0.25">
      <c r="A819" s="342" t="s">
        <v>296</v>
      </c>
      <c r="B819" s="336">
        <v>907</v>
      </c>
      <c r="C819" s="338" t="s">
        <v>507</v>
      </c>
      <c r="D819" s="338" t="s">
        <v>134</v>
      </c>
      <c r="E819" s="338" t="s">
        <v>1080</v>
      </c>
      <c r="F819" s="338"/>
      <c r="G819" s="343">
        <f>G820</f>
        <v>0</v>
      </c>
      <c r="H819" s="343">
        <f>H820</f>
        <v>0</v>
      </c>
      <c r="I819" s="343" t="e">
        <f t="shared" si="59"/>
        <v>#DIV/0!</v>
      </c>
      <c r="J819" s="109"/>
    </row>
    <row r="820" spans="1:10" ht="37.5" hidden="1" customHeight="1" x14ac:dyDescent="0.25">
      <c r="A820" s="342" t="s">
        <v>288</v>
      </c>
      <c r="B820" s="336">
        <v>907</v>
      </c>
      <c r="C820" s="338" t="s">
        <v>507</v>
      </c>
      <c r="D820" s="338" t="s">
        <v>134</v>
      </c>
      <c r="E820" s="338" t="s">
        <v>1080</v>
      </c>
      <c r="F820" s="338" t="s">
        <v>289</v>
      </c>
      <c r="G820" s="343">
        <f>G821</f>
        <v>0</v>
      </c>
      <c r="H820" s="343">
        <f>H821</f>
        <v>0</v>
      </c>
      <c r="I820" s="343" t="e">
        <f t="shared" si="59"/>
        <v>#DIV/0!</v>
      </c>
      <c r="J820" s="109"/>
    </row>
    <row r="821" spans="1:10" ht="15.75" hidden="1" customHeight="1" x14ac:dyDescent="0.25">
      <c r="A821" s="342" t="s">
        <v>290</v>
      </c>
      <c r="B821" s="336">
        <v>907</v>
      </c>
      <c r="C821" s="338" t="s">
        <v>507</v>
      </c>
      <c r="D821" s="338" t="s">
        <v>134</v>
      </c>
      <c r="E821" s="338" t="s">
        <v>1080</v>
      </c>
      <c r="F821" s="338" t="s">
        <v>291</v>
      </c>
      <c r="G821" s="343">
        <v>0</v>
      </c>
      <c r="H821" s="343">
        <v>0</v>
      </c>
      <c r="I821" s="343" t="e">
        <f t="shared" si="59"/>
        <v>#DIV/0!</v>
      </c>
      <c r="J821" s="109"/>
    </row>
    <row r="822" spans="1:10" s="218" customFormat="1" ht="15.75" customHeight="1" x14ac:dyDescent="0.25">
      <c r="A822" s="342" t="s">
        <v>876</v>
      </c>
      <c r="B822" s="336">
        <v>907</v>
      </c>
      <c r="C822" s="338" t="s">
        <v>507</v>
      </c>
      <c r="D822" s="338" t="s">
        <v>134</v>
      </c>
      <c r="E822" s="338" t="s">
        <v>1081</v>
      </c>
      <c r="F822" s="338"/>
      <c r="G822" s="343">
        <f>G823</f>
        <v>36</v>
      </c>
      <c r="H822" s="343">
        <f>H823</f>
        <v>36</v>
      </c>
      <c r="I822" s="343">
        <f t="shared" si="59"/>
        <v>100</v>
      </c>
      <c r="J822" s="109"/>
    </row>
    <row r="823" spans="1:10" s="218" customFormat="1" ht="41.25" customHeight="1" x14ac:dyDescent="0.25">
      <c r="A823" s="342" t="s">
        <v>288</v>
      </c>
      <c r="B823" s="336">
        <v>907</v>
      </c>
      <c r="C823" s="338" t="s">
        <v>507</v>
      </c>
      <c r="D823" s="338" t="s">
        <v>134</v>
      </c>
      <c r="E823" s="338" t="s">
        <v>1081</v>
      </c>
      <c r="F823" s="338" t="s">
        <v>289</v>
      </c>
      <c r="G823" s="343">
        <f>G824</f>
        <v>36</v>
      </c>
      <c r="H823" s="343">
        <f>H824</f>
        <v>36</v>
      </c>
      <c r="I823" s="343">
        <f t="shared" si="59"/>
        <v>100</v>
      </c>
      <c r="J823" s="109"/>
    </row>
    <row r="824" spans="1:10" s="218" customFormat="1" ht="15.75" customHeight="1" x14ac:dyDescent="0.25">
      <c r="A824" s="342" t="s">
        <v>290</v>
      </c>
      <c r="B824" s="336">
        <v>907</v>
      </c>
      <c r="C824" s="338" t="s">
        <v>507</v>
      </c>
      <c r="D824" s="338" t="s">
        <v>134</v>
      </c>
      <c r="E824" s="338" t="s">
        <v>1081</v>
      </c>
      <c r="F824" s="338" t="s">
        <v>291</v>
      </c>
      <c r="G824" s="343">
        <v>36</v>
      </c>
      <c r="H824" s="343">
        <v>36</v>
      </c>
      <c r="I824" s="343">
        <f t="shared" si="59"/>
        <v>100</v>
      </c>
      <c r="J824" s="109"/>
    </row>
    <row r="825" spans="1:10" s="218" customFormat="1" ht="35.450000000000003" customHeight="1" x14ac:dyDescent="0.25">
      <c r="A825" s="340" t="s">
        <v>1076</v>
      </c>
      <c r="B825" s="337">
        <v>907</v>
      </c>
      <c r="C825" s="341" t="s">
        <v>507</v>
      </c>
      <c r="D825" s="341" t="s">
        <v>134</v>
      </c>
      <c r="E825" s="341" t="s">
        <v>1078</v>
      </c>
      <c r="F825" s="341"/>
      <c r="G825" s="339">
        <f>G826+G829</f>
        <v>1205.8</v>
      </c>
      <c r="H825" s="339">
        <f>H826+H829</f>
        <v>1205.8</v>
      </c>
      <c r="I825" s="339">
        <f t="shared" si="59"/>
        <v>100</v>
      </c>
      <c r="J825" s="109"/>
    </row>
    <row r="826" spans="1:10" ht="33.75" hidden="1" customHeight="1" x14ac:dyDescent="0.25">
      <c r="A826" s="342" t="s">
        <v>817</v>
      </c>
      <c r="B826" s="336">
        <v>907</v>
      </c>
      <c r="C826" s="338" t="s">
        <v>507</v>
      </c>
      <c r="D826" s="338" t="s">
        <v>134</v>
      </c>
      <c r="E826" s="338" t="s">
        <v>1082</v>
      </c>
      <c r="F826" s="338"/>
      <c r="G826" s="343">
        <f>G827</f>
        <v>0</v>
      </c>
      <c r="H826" s="343">
        <f>H827</f>
        <v>0</v>
      </c>
      <c r="I826" s="343" t="e">
        <f t="shared" si="59"/>
        <v>#DIV/0!</v>
      </c>
      <c r="J826" s="109"/>
    </row>
    <row r="827" spans="1:10" ht="31.5" hidden="1" x14ac:dyDescent="0.25">
      <c r="A827" s="342" t="s">
        <v>288</v>
      </c>
      <c r="B827" s="336">
        <v>907</v>
      </c>
      <c r="C827" s="338" t="s">
        <v>507</v>
      </c>
      <c r="D827" s="338" t="s">
        <v>134</v>
      </c>
      <c r="E827" s="338" t="s">
        <v>1082</v>
      </c>
      <c r="F827" s="338" t="s">
        <v>289</v>
      </c>
      <c r="G827" s="343">
        <f>G828</f>
        <v>0</v>
      </c>
      <c r="H827" s="343">
        <f>H828</f>
        <v>0</v>
      </c>
      <c r="I827" s="343" t="e">
        <f t="shared" si="59"/>
        <v>#DIV/0!</v>
      </c>
      <c r="J827" s="109"/>
    </row>
    <row r="828" spans="1:10" ht="15.75" hidden="1" customHeight="1" x14ac:dyDescent="0.25">
      <c r="A828" s="342" t="s">
        <v>290</v>
      </c>
      <c r="B828" s="336">
        <v>907</v>
      </c>
      <c r="C828" s="338" t="s">
        <v>507</v>
      </c>
      <c r="D828" s="338" t="s">
        <v>134</v>
      </c>
      <c r="E828" s="338" t="s">
        <v>1082</v>
      </c>
      <c r="F828" s="338" t="s">
        <v>291</v>
      </c>
      <c r="G828" s="343">
        <v>0</v>
      </c>
      <c r="H828" s="343">
        <v>0</v>
      </c>
      <c r="I828" s="343" t="e">
        <f t="shared" si="59"/>
        <v>#DIV/0!</v>
      </c>
      <c r="J828" s="109"/>
    </row>
    <row r="829" spans="1:10" ht="34.5" customHeight="1" x14ac:dyDescent="0.25">
      <c r="A829" s="45" t="s">
        <v>787</v>
      </c>
      <c r="B829" s="336">
        <v>907</v>
      </c>
      <c r="C829" s="338" t="s">
        <v>507</v>
      </c>
      <c r="D829" s="338" t="s">
        <v>134</v>
      </c>
      <c r="E829" s="338" t="s">
        <v>1083</v>
      </c>
      <c r="F829" s="338"/>
      <c r="G829" s="343">
        <f>G830</f>
        <v>1205.8</v>
      </c>
      <c r="H829" s="343">
        <f>H830</f>
        <v>1205.8</v>
      </c>
      <c r="I829" s="343">
        <f t="shared" si="59"/>
        <v>100</v>
      </c>
      <c r="J829" s="109"/>
    </row>
    <row r="830" spans="1:10" ht="33" customHeight="1" x14ac:dyDescent="0.25">
      <c r="A830" s="31" t="s">
        <v>288</v>
      </c>
      <c r="B830" s="336">
        <v>907</v>
      </c>
      <c r="C830" s="338" t="s">
        <v>507</v>
      </c>
      <c r="D830" s="338" t="s">
        <v>134</v>
      </c>
      <c r="E830" s="338" t="s">
        <v>1083</v>
      </c>
      <c r="F830" s="338" t="s">
        <v>289</v>
      </c>
      <c r="G830" s="343">
        <f>G831</f>
        <v>1205.8</v>
      </c>
      <c r="H830" s="343">
        <f>H831</f>
        <v>1205.8</v>
      </c>
      <c r="I830" s="343">
        <f t="shared" si="59"/>
        <v>100</v>
      </c>
      <c r="J830" s="109"/>
    </row>
    <row r="831" spans="1:10" ht="15.75" customHeight="1" x14ac:dyDescent="0.25">
      <c r="A831" s="31" t="s">
        <v>290</v>
      </c>
      <c r="B831" s="336">
        <v>907</v>
      </c>
      <c r="C831" s="338" t="s">
        <v>507</v>
      </c>
      <c r="D831" s="338" t="s">
        <v>134</v>
      </c>
      <c r="E831" s="338" t="s">
        <v>1083</v>
      </c>
      <c r="F831" s="338" t="s">
        <v>291</v>
      </c>
      <c r="G831" s="343">
        <f>756+394.3+55.5</f>
        <v>1205.8</v>
      </c>
      <c r="H831" s="343">
        <v>1205.8</v>
      </c>
      <c r="I831" s="343">
        <f t="shared" si="59"/>
        <v>100</v>
      </c>
      <c r="J831" s="109"/>
    </row>
    <row r="832" spans="1:10" s="218" customFormat="1" ht="44.45" customHeight="1" x14ac:dyDescent="0.25">
      <c r="A832" s="340" t="s">
        <v>971</v>
      </c>
      <c r="B832" s="337">
        <v>907</v>
      </c>
      <c r="C832" s="341" t="s">
        <v>507</v>
      </c>
      <c r="D832" s="341" t="s">
        <v>134</v>
      </c>
      <c r="E832" s="341" t="s">
        <v>1084</v>
      </c>
      <c r="F832" s="341"/>
      <c r="G832" s="339">
        <f>G836+G833</f>
        <v>813.5</v>
      </c>
      <c r="H832" s="339">
        <f>H836+H833</f>
        <v>490</v>
      </c>
      <c r="I832" s="339">
        <f t="shared" si="59"/>
        <v>60.233558696988318</v>
      </c>
      <c r="J832" s="109"/>
    </row>
    <row r="833" spans="1:10" s="332" customFormat="1" ht="77.25" customHeight="1" x14ac:dyDescent="0.25">
      <c r="A833" s="31" t="s">
        <v>309</v>
      </c>
      <c r="B833" s="336">
        <v>907</v>
      </c>
      <c r="C833" s="338" t="s">
        <v>507</v>
      </c>
      <c r="D833" s="338" t="s">
        <v>134</v>
      </c>
      <c r="E833" s="338" t="s">
        <v>1521</v>
      </c>
      <c r="F833" s="338"/>
      <c r="G833" s="343">
        <f>G834</f>
        <v>813.5</v>
      </c>
      <c r="H833" s="343">
        <f>H834</f>
        <v>490</v>
      </c>
      <c r="I833" s="343">
        <f t="shared" si="59"/>
        <v>60.233558696988318</v>
      </c>
      <c r="J833" s="109"/>
    </row>
    <row r="834" spans="1:10" s="332" customFormat="1" ht="31.5" x14ac:dyDescent="0.25">
      <c r="A834" s="342" t="s">
        <v>288</v>
      </c>
      <c r="B834" s="336">
        <v>907</v>
      </c>
      <c r="C834" s="338" t="s">
        <v>507</v>
      </c>
      <c r="D834" s="338" t="s">
        <v>134</v>
      </c>
      <c r="E834" s="338" t="s">
        <v>1521</v>
      </c>
      <c r="F834" s="338" t="s">
        <v>289</v>
      </c>
      <c r="G834" s="343">
        <f>G835</f>
        <v>813.5</v>
      </c>
      <c r="H834" s="343">
        <f>H835</f>
        <v>490</v>
      </c>
      <c r="I834" s="343">
        <f t="shared" si="59"/>
        <v>60.233558696988318</v>
      </c>
      <c r="J834" s="109"/>
    </row>
    <row r="835" spans="1:10" s="332" customFormat="1" ht="15.75" x14ac:dyDescent="0.25">
      <c r="A835" s="342" t="s">
        <v>290</v>
      </c>
      <c r="B835" s="336">
        <v>907</v>
      </c>
      <c r="C835" s="338" t="s">
        <v>507</v>
      </c>
      <c r="D835" s="338" t="s">
        <v>134</v>
      </c>
      <c r="E835" s="338" t="s">
        <v>1521</v>
      </c>
      <c r="F835" s="338" t="s">
        <v>291</v>
      </c>
      <c r="G835" s="343">
        <v>813.5</v>
      </c>
      <c r="H835" s="343">
        <v>490</v>
      </c>
      <c r="I835" s="343">
        <f t="shared" si="59"/>
        <v>60.233558696988318</v>
      </c>
      <c r="J835" s="109"/>
    </row>
    <row r="836" spans="1:10" s="218" customFormat="1" ht="78.75" hidden="1" x14ac:dyDescent="0.25">
      <c r="A836" s="31" t="s">
        <v>480</v>
      </c>
      <c r="B836" s="336">
        <v>907</v>
      </c>
      <c r="C836" s="338" t="s">
        <v>507</v>
      </c>
      <c r="D836" s="338" t="s">
        <v>134</v>
      </c>
      <c r="E836" s="338" t="s">
        <v>1085</v>
      </c>
      <c r="F836" s="338"/>
      <c r="G836" s="343">
        <f>G837</f>
        <v>0</v>
      </c>
      <c r="H836" s="343">
        <f>H837</f>
        <v>0</v>
      </c>
      <c r="I836" s="343" t="e">
        <f t="shared" si="59"/>
        <v>#DIV/0!</v>
      </c>
      <c r="J836" s="109"/>
    </row>
    <row r="837" spans="1:10" s="218" customFormat="1" ht="31.5" hidden="1" x14ac:dyDescent="0.25">
      <c r="A837" s="342" t="s">
        <v>288</v>
      </c>
      <c r="B837" s="336">
        <v>907</v>
      </c>
      <c r="C837" s="338" t="s">
        <v>507</v>
      </c>
      <c r="D837" s="338" t="s">
        <v>134</v>
      </c>
      <c r="E837" s="338" t="s">
        <v>1085</v>
      </c>
      <c r="F837" s="338" t="s">
        <v>289</v>
      </c>
      <c r="G837" s="343">
        <f>G838</f>
        <v>0</v>
      </c>
      <c r="H837" s="343">
        <f>H838</f>
        <v>0</v>
      </c>
      <c r="I837" s="343" t="e">
        <f t="shared" si="59"/>
        <v>#DIV/0!</v>
      </c>
      <c r="J837" s="109"/>
    </row>
    <row r="838" spans="1:10" s="218" customFormat="1" ht="15.75" hidden="1" x14ac:dyDescent="0.25">
      <c r="A838" s="342" t="s">
        <v>290</v>
      </c>
      <c r="B838" s="336">
        <v>907</v>
      </c>
      <c r="C838" s="338" t="s">
        <v>507</v>
      </c>
      <c r="D838" s="338" t="s">
        <v>134</v>
      </c>
      <c r="E838" s="338" t="s">
        <v>1085</v>
      </c>
      <c r="F838" s="338" t="s">
        <v>291</v>
      </c>
      <c r="G838" s="343"/>
      <c r="H838" s="343"/>
      <c r="I838" s="343" t="e">
        <f t="shared" si="59"/>
        <v>#DIV/0!</v>
      </c>
      <c r="J838" s="109"/>
    </row>
    <row r="839" spans="1:10" s="218" customFormat="1" ht="47.25" x14ac:dyDescent="0.25">
      <c r="A839" s="340" t="s">
        <v>1485</v>
      </c>
      <c r="B839" s="337">
        <v>907</v>
      </c>
      <c r="C839" s="341" t="s">
        <v>507</v>
      </c>
      <c r="D839" s="341" t="s">
        <v>134</v>
      </c>
      <c r="E839" s="341" t="s">
        <v>1482</v>
      </c>
      <c r="F839" s="341"/>
      <c r="G839" s="339">
        <f t="shared" ref="G839:H841" si="63">G840</f>
        <v>439.56040000000002</v>
      </c>
      <c r="H839" s="339">
        <f t="shared" si="63"/>
        <v>439.6</v>
      </c>
      <c r="I839" s="339">
        <f t="shared" si="59"/>
        <v>100.00900900081082</v>
      </c>
      <c r="J839" s="109"/>
    </row>
    <row r="840" spans="1:10" s="220" customFormat="1" ht="47.25" x14ac:dyDescent="0.25">
      <c r="A840" s="342" t="s">
        <v>1486</v>
      </c>
      <c r="B840" s="336">
        <v>907</v>
      </c>
      <c r="C840" s="338" t="s">
        <v>507</v>
      </c>
      <c r="D840" s="338" t="s">
        <v>134</v>
      </c>
      <c r="E840" s="338" t="s">
        <v>1481</v>
      </c>
      <c r="F840" s="338"/>
      <c r="G840" s="343">
        <f t="shared" si="63"/>
        <v>439.56040000000002</v>
      </c>
      <c r="H840" s="343">
        <f t="shared" si="63"/>
        <v>439.6</v>
      </c>
      <c r="I840" s="343">
        <f t="shared" si="59"/>
        <v>100.00900900081082</v>
      </c>
      <c r="J840" s="128"/>
    </row>
    <row r="841" spans="1:10" s="220" customFormat="1" ht="31.5" x14ac:dyDescent="0.25">
      <c r="A841" s="342" t="s">
        <v>288</v>
      </c>
      <c r="B841" s="336">
        <v>907</v>
      </c>
      <c r="C841" s="338" t="s">
        <v>507</v>
      </c>
      <c r="D841" s="338" t="s">
        <v>134</v>
      </c>
      <c r="E841" s="338" t="s">
        <v>1481</v>
      </c>
      <c r="F841" s="338" t="s">
        <v>289</v>
      </c>
      <c r="G841" s="343">
        <f t="shared" si="63"/>
        <v>439.56040000000002</v>
      </c>
      <c r="H841" s="343">
        <f t="shared" si="63"/>
        <v>439.6</v>
      </c>
      <c r="I841" s="343">
        <f t="shared" si="59"/>
        <v>100.00900900081082</v>
      </c>
      <c r="J841" s="128"/>
    </row>
    <row r="842" spans="1:10" s="220" customFormat="1" ht="15.75" x14ac:dyDescent="0.25">
      <c r="A842" s="342" t="s">
        <v>290</v>
      </c>
      <c r="B842" s="336">
        <v>907</v>
      </c>
      <c r="C842" s="338" t="s">
        <v>507</v>
      </c>
      <c r="D842" s="338" t="s">
        <v>134</v>
      </c>
      <c r="E842" s="338" t="s">
        <v>1481</v>
      </c>
      <c r="F842" s="338" t="s">
        <v>291</v>
      </c>
      <c r="G842" s="343">
        <f>400+39.5604</f>
        <v>439.56040000000002</v>
      </c>
      <c r="H842" s="343">
        <v>439.6</v>
      </c>
      <c r="I842" s="343">
        <f t="shared" si="59"/>
        <v>100.00900900081082</v>
      </c>
      <c r="J842" s="128"/>
    </row>
    <row r="843" spans="1:10" s="220" customFormat="1" ht="51.75" customHeight="1" x14ac:dyDescent="0.25">
      <c r="A843" s="340" t="s">
        <v>1515</v>
      </c>
      <c r="B843" s="337">
        <v>907</v>
      </c>
      <c r="C843" s="341" t="s">
        <v>507</v>
      </c>
      <c r="D843" s="341" t="s">
        <v>134</v>
      </c>
      <c r="E843" s="341" t="s">
        <v>1509</v>
      </c>
      <c r="F843" s="338"/>
      <c r="G843" s="339">
        <f>G844+G847</f>
        <v>5031.17</v>
      </c>
      <c r="H843" s="339">
        <f>H844+H847</f>
        <v>0</v>
      </c>
      <c r="I843" s="339">
        <f t="shared" ref="I843:I906" si="64">H843/G843*100</f>
        <v>0</v>
      </c>
      <c r="J843" s="128"/>
    </row>
    <row r="844" spans="1:10" s="220" customFormat="1" ht="47.25" x14ac:dyDescent="0.25">
      <c r="A844" s="342" t="s">
        <v>1514</v>
      </c>
      <c r="B844" s="336">
        <v>907</v>
      </c>
      <c r="C844" s="338" t="s">
        <v>507</v>
      </c>
      <c r="D844" s="338" t="s">
        <v>134</v>
      </c>
      <c r="E844" s="338" t="s">
        <v>1510</v>
      </c>
      <c r="F844" s="338"/>
      <c r="G844" s="343">
        <f>G845</f>
        <v>206.27</v>
      </c>
      <c r="H844" s="343">
        <f>H845</f>
        <v>0</v>
      </c>
      <c r="I844" s="343">
        <f t="shared" si="64"/>
        <v>0</v>
      </c>
      <c r="J844" s="128"/>
    </row>
    <row r="845" spans="1:10" s="220" customFormat="1" ht="31.5" x14ac:dyDescent="0.25">
      <c r="A845" s="342" t="s">
        <v>288</v>
      </c>
      <c r="B845" s="336">
        <v>907</v>
      </c>
      <c r="C845" s="338" t="s">
        <v>507</v>
      </c>
      <c r="D845" s="338" t="s">
        <v>134</v>
      </c>
      <c r="E845" s="338" t="s">
        <v>1510</v>
      </c>
      <c r="F845" s="338" t="s">
        <v>289</v>
      </c>
      <c r="G845" s="343">
        <f>G846</f>
        <v>206.27</v>
      </c>
      <c r="H845" s="343">
        <f>H846</f>
        <v>0</v>
      </c>
      <c r="I845" s="343">
        <f t="shared" si="64"/>
        <v>0</v>
      </c>
      <c r="J845" s="128"/>
    </row>
    <row r="846" spans="1:10" s="220" customFormat="1" ht="15.75" x14ac:dyDescent="0.25">
      <c r="A846" s="342" t="s">
        <v>290</v>
      </c>
      <c r="B846" s="336">
        <v>907</v>
      </c>
      <c r="C846" s="338" t="s">
        <v>507</v>
      </c>
      <c r="D846" s="338" t="s">
        <v>134</v>
      </c>
      <c r="E846" s="338" t="s">
        <v>1510</v>
      </c>
      <c r="F846" s="338" t="s">
        <v>291</v>
      </c>
      <c r="G846" s="343">
        <v>206.27</v>
      </c>
      <c r="H846" s="343">
        <v>0</v>
      </c>
      <c r="I846" s="343">
        <f t="shared" si="64"/>
        <v>0</v>
      </c>
      <c r="J846" s="128"/>
    </row>
    <row r="847" spans="1:10" s="220" customFormat="1" ht="31.5" x14ac:dyDescent="0.25">
      <c r="A847" s="342" t="s">
        <v>1506</v>
      </c>
      <c r="B847" s="336">
        <v>907</v>
      </c>
      <c r="C847" s="338" t="s">
        <v>507</v>
      </c>
      <c r="D847" s="338" t="s">
        <v>134</v>
      </c>
      <c r="E847" s="338" t="s">
        <v>1511</v>
      </c>
      <c r="F847" s="338"/>
      <c r="G847" s="343">
        <f>G848</f>
        <v>4824.8999999999996</v>
      </c>
      <c r="H847" s="343">
        <f>H848</f>
        <v>0</v>
      </c>
      <c r="I847" s="343">
        <f t="shared" si="64"/>
        <v>0</v>
      </c>
      <c r="J847" s="128"/>
    </row>
    <row r="848" spans="1:10" s="220" customFormat="1" ht="31.5" x14ac:dyDescent="0.25">
      <c r="A848" s="342" t="s">
        <v>288</v>
      </c>
      <c r="B848" s="336">
        <v>907</v>
      </c>
      <c r="C848" s="338" t="s">
        <v>507</v>
      </c>
      <c r="D848" s="338" t="s">
        <v>134</v>
      </c>
      <c r="E848" s="338" t="s">
        <v>1511</v>
      </c>
      <c r="F848" s="338" t="s">
        <v>289</v>
      </c>
      <c r="G848" s="343">
        <f>G849</f>
        <v>4824.8999999999996</v>
      </c>
      <c r="H848" s="343">
        <f>H849</f>
        <v>0</v>
      </c>
      <c r="I848" s="343">
        <f t="shared" si="64"/>
        <v>0</v>
      </c>
      <c r="J848" s="128"/>
    </row>
    <row r="849" spans="1:10" s="220" customFormat="1" ht="15.75" x14ac:dyDescent="0.25">
      <c r="A849" s="342" t="s">
        <v>290</v>
      </c>
      <c r="B849" s="336">
        <v>907</v>
      </c>
      <c r="C849" s="338" t="s">
        <v>507</v>
      </c>
      <c r="D849" s="338" t="s">
        <v>134</v>
      </c>
      <c r="E849" s="338" t="s">
        <v>1511</v>
      </c>
      <c r="F849" s="338" t="s">
        <v>291</v>
      </c>
      <c r="G849" s="343">
        <v>4824.8999999999996</v>
      </c>
      <c r="H849" s="343">
        <v>0</v>
      </c>
      <c r="I849" s="343">
        <f t="shared" si="64"/>
        <v>0</v>
      </c>
      <c r="J849" s="128"/>
    </row>
    <row r="850" spans="1:10" ht="47.25" x14ac:dyDescent="0.25">
      <c r="A850" s="41" t="s">
        <v>1179</v>
      </c>
      <c r="B850" s="337">
        <v>907</v>
      </c>
      <c r="C850" s="341" t="s">
        <v>507</v>
      </c>
      <c r="D850" s="341" t="s">
        <v>134</v>
      </c>
      <c r="E850" s="341" t="s">
        <v>728</v>
      </c>
      <c r="F850" s="235"/>
      <c r="G850" s="339">
        <f t="shared" ref="G850:H853" si="65">G851</f>
        <v>540.1</v>
      </c>
      <c r="H850" s="339">
        <f t="shared" si="65"/>
        <v>194.44</v>
      </c>
      <c r="I850" s="339">
        <f t="shared" si="64"/>
        <v>36.000740603591922</v>
      </c>
      <c r="J850" s="109"/>
    </row>
    <row r="851" spans="1:10" s="218" customFormat="1" ht="47.25" x14ac:dyDescent="0.25">
      <c r="A851" s="41" t="s">
        <v>949</v>
      </c>
      <c r="B851" s="337">
        <v>907</v>
      </c>
      <c r="C851" s="341" t="s">
        <v>507</v>
      </c>
      <c r="D851" s="341" t="s">
        <v>134</v>
      </c>
      <c r="E851" s="341" t="s">
        <v>947</v>
      </c>
      <c r="F851" s="235"/>
      <c r="G851" s="339">
        <f t="shared" si="65"/>
        <v>540.1</v>
      </c>
      <c r="H851" s="339">
        <f t="shared" si="65"/>
        <v>194.44</v>
      </c>
      <c r="I851" s="343">
        <f t="shared" si="64"/>
        <v>36.000740603591922</v>
      </c>
      <c r="J851" s="109"/>
    </row>
    <row r="852" spans="1:10" ht="39.200000000000003" customHeight="1" x14ac:dyDescent="0.25">
      <c r="A852" s="99" t="s">
        <v>803</v>
      </c>
      <c r="B852" s="336">
        <v>907</v>
      </c>
      <c r="C852" s="338" t="s">
        <v>507</v>
      </c>
      <c r="D852" s="338" t="s">
        <v>134</v>
      </c>
      <c r="E852" s="338" t="s">
        <v>1027</v>
      </c>
      <c r="F852" s="32"/>
      <c r="G852" s="343">
        <f t="shared" si="65"/>
        <v>540.1</v>
      </c>
      <c r="H852" s="343">
        <f t="shared" si="65"/>
        <v>194.44</v>
      </c>
      <c r="I852" s="343">
        <f t="shared" si="64"/>
        <v>36.000740603591922</v>
      </c>
    </row>
    <row r="853" spans="1:10" ht="31.5" x14ac:dyDescent="0.25">
      <c r="A853" s="345" t="s">
        <v>288</v>
      </c>
      <c r="B853" s="336">
        <v>907</v>
      </c>
      <c r="C853" s="338" t="s">
        <v>507</v>
      </c>
      <c r="D853" s="338" t="s">
        <v>134</v>
      </c>
      <c r="E853" s="338" t="s">
        <v>1027</v>
      </c>
      <c r="F853" s="32" t="s">
        <v>289</v>
      </c>
      <c r="G853" s="343">
        <f t="shared" si="65"/>
        <v>540.1</v>
      </c>
      <c r="H853" s="343">
        <f t="shared" si="65"/>
        <v>194.44</v>
      </c>
      <c r="I853" s="343">
        <f t="shared" si="64"/>
        <v>36.000740603591922</v>
      </c>
    </row>
    <row r="854" spans="1:10" ht="15.75" x14ac:dyDescent="0.25">
      <c r="A854" s="192" t="s">
        <v>290</v>
      </c>
      <c r="B854" s="336">
        <v>907</v>
      </c>
      <c r="C854" s="338" t="s">
        <v>507</v>
      </c>
      <c r="D854" s="338" t="s">
        <v>134</v>
      </c>
      <c r="E854" s="338" t="s">
        <v>1027</v>
      </c>
      <c r="F854" s="32" t="s">
        <v>291</v>
      </c>
      <c r="G854" s="343">
        <f>377+163.1</f>
        <v>540.1</v>
      </c>
      <c r="H854" s="343">
        <v>194.44</v>
      </c>
      <c r="I854" s="343">
        <f t="shared" si="64"/>
        <v>36.000740603591922</v>
      </c>
    </row>
    <row r="855" spans="1:10" ht="19.5" customHeight="1" x14ac:dyDescent="0.25">
      <c r="A855" s="340" t="s">
        <v>516</v>
      </c>
      <c r="B855" s="337">
        <v>907</v>
      </c>
      <c r="C855" s="341" t="s">
        <v>507</v>
      </c>
      <c r="D855" s="341" t="s">
        <v>250</v>
      </c>
      <c r="E855" s="341"/>
      <c r="F855" s="341"/>
      <c r="G855" s="339">
        <f>G856+G864+G876</f>
        <v>13218.2</v>
      </c>
      <c r="H855" s="339">
        <f>H856+H864+H876</f>
        <v>6389.05</v>
      </c>
      <c r="I855" s="339">
        <f t="shared" si="64"/>
        <v>48.335249882737436</v>
      </c>
    </row>
    <row r="856" spans="1:10" ht="31.5" x14ac:dyDescent="0.25">
      <c r="A856" s="340" t="s">
        <v>990</v>
      </c>
      <c r="B856" s="337">
        <v>907</v>
      </c>
      <c r="C856" s="341" t="s">
        <v>507</v>
      </c>
      <c r="D856" s="341" t="s">
        <v>250</v>
      </c>
      <c r="E856" s="341" t="s">
        <v>904</v>
      </c>
      <c r="F856" s="341"/>
      <c r="G856" s="339">
        <f>G857</f>
        <v>5160.8999999999996</v>
      </c>
      <c r="H856" s="339">
        <f>H857</f>
        <v>3139.25</v>
      </c>
      <c r="I856" s="339">
        <f t="shared" si="64"/>
        <v>60.827568834893142</v>
      </c>
    </row>
    <row r="857" spans="1:10" ht="15.75" x14ac:dyDescent="0.25">
      <c r="A857" s="340" t="s">
        <v>991</v>
      </c>
      <c r="B857" s="337">
        <v>907</v>
      </c>
      <c r="C857" s="341" t="s">
        <v>507</v>
      </c>
      <c r="D857" s="341" t="s">
        <v>250</v>
      </c>
      <c r="E857" s="341" t="s">
        <v>905</v>
      </c>
      <c r="F857" s="341"/>
      <c r="G857" s="339">
        <f>G858+G861</f>
        <v>5160.8999999999996</v>
      </c>
      <c r="H857" s="339">
        <f>H858+H861</f>
        <v>3139.25</v>
      </c>
      <c r="I857" s="339">
        <f t="shared" si="64"/>
        <v>60.827568834893142</v>
      </c>
    </row>
    <row r="858" spans="1:10" ht="33" customHeight="1" x14ac:dyDescent="0.25">
      <c r="A858" s="342" t="s">
        <v>967</v>
      </c>
      <c r="B858" s="336">
        <v>907</v>
      </c>
      <c r="C858" s="338" t="s">
        <v>507</v>
      </c>
      <c r="D858" s="338" t="s">
        <v>250</v>
      </c>
      <c r="E858" s="338" t="s">
        <v>906</v>
      </c>
      <c r="F858" s="338"/>
      <c r="G858" s="343">
        <f>G859</f>
        <v>4798.8999999999996</v>
      </c>
      <c r="H858" s="343">
        <f>H859</f>
        <v>2777.25</v>
      </c>
      <c r="I858" s="343">
        <f t="shared" si="64"/>
        <v>57.872637479422373</v>
      </c>
    </row>
    <row r="859" spans="1:10" ht="64.5" customHeight="1" x14ac:dyDescent="0.25">
      <c r="A859" s="342" t="s">
        <v>143</v>
      </c>
      <c r="B859" s="336">
        <v>907</v>
      </c>
      <c r="C859" s="338" t="s">
        <v>507</v>
      </c>
      <c r="D859" s="338" t="s">
        <v>250</v>
      </c>
      <c r="E859" s="338" t="s">
        <v>906</v>
      </c>
      <c r="F859" s="338" t="s">
        <v>144</v>
      </c>
      <c r="G859" s="343">
        <f>G860</f>
        <v>4798.8999999999996</v>
      </c>
      <c r="H859" s="343">
        <f>H860</f>
        <v>2777.25</v>
      </c>
      <c r="I859" s="343">
        <f t="shared" si="64"/>
        <v>57.872637479422373</v>
      </c>
    </row>
    <row r="860" spans="1:10" ht="31.5" x14ac:dyDescent="0.25">
      <c r="A860" s="342" t="s">
        <v>145</v>
      </c>
      <c r="B860" s="336">
        <v>907</v>
      </c>
      <c r="C860" s="338" t="s">
        <v>507</v>
      </c>
      <c r="D860" s="338" t="s">
        <v>250</v>
      </c>
      <c r="E860" s="338" t="s">
        <v>906</v>
      </c>
      <c r="F860" s="338" t="s">
        <v>146</v>
      </c>
      <c r="G860" s="344">
        <f>4447+266+85.9</f>
        <v>4798.8999999999996</v>
      </c>
      <c r="H860" s="344">
        <v>2777.25</v>
      </c>
      <c r="I860" s="343">
        <f t="shared" si="64"/>
        <v>57.872637479422373</v>
      </c>
    </row>
    <row r="861" spans="1:10" s="218" customFormat="1" ht="36.75" customHeight="1" x14ac:dyDescent="0.25">
      <c r="A861" s="342" t="s">
        <v>885</v>
      </c>
      <c r="B861" s="336">
        <v>907</v>
      </c>
      <c r="C861" s="338" t="s">
        <v>507</v>
      </c>
      <c r="D861" s="338" t="s">
        <v>250</v>
      </c>
      <c r="E861" s="338" t="s">
        <v>908</v>
      </c>
      <c r="F861" s="338"/>
      <c r="G861" s="343">
        <f>G862</f>
        <v>362</v>
      </c>
      <c r="H861" s="343">
        <f>H862</f>
        <v>362</v>
      </c>
      <c r="I861" s="343">
        <f t="shared" si="64"/>
        <v>100</v>
      </c>
      <c r="J861" s="332"/>
    </row>
    <row r="862" spans="1:10" s="218" customFormat="1" ht="47.25" customHeight="1" x14ac:dyDescent="0.25">
      <c r="A862" s="342" t="s">
        <v>143</v>
      </c>
      <c r="B862" s="336">
        <v>907</v>
      </c>
      <c r="C862" s="338" t="s">
        <v>507</v>
      </c>
      <c r="D862" s="338" t="s">
        <v>250</v>
      </c>
      <c r="E862" s="338" t="s">
        <v>908</v>
      </c>
      <c r="F862" s="338" t="s">
        <v>144</v>
      </c>
      <c r="G862" s="343">
        <f>G863</f>
        <v>362</v>
      </c>
      <c r="H862" s="343">
        <f>H863</f>
        <v>362</v>
      </c>
      <c r="I862" s="343">
        <f t="shared" si="64"/>
        <v>100</v>
      </c>
      <c r="J862" s="332"/>
    </row>
    <row r="863" spans="1:10" s="218" customFormat="1" ht="34.5" customHeight="1" x14ac:dyDescent="0.25">
      <c r="A863" s="342" t="s">
        <v>145</v>
      </c>
      <c r="B863" s="336">
        <v>907</v>
      </c>
      <c r="C863" s="338" t="s">
        <v>507</v>
      </c>
      <c r="D863" s="338" t="s">
        <v>250</v>
      </c>
      <c r="E863" s="338" t="s">
        <v>908</v>
      </c>
      <c r="F863" s="338" t="s">
        <v>146</v>
      </c>
      <c r="G863" s="343">
        <f>84+252+26</f>
        <v>362</v>
      </c>
      <c r="H863" s="343">
        <v>362</v>
      </c>
      <c r="I863" s="343">
        <f t="shared" si="64"/>
        <v>100</v>
      </c>
      <c r="J863" s="332"/>
    </row>
    <row r="864" spans="1:10" ht="15.75" x14ac:dyDescent="0.25">
      <c r="A864" s="340" t="s">
        <v>157</v>
      </c>
      <c r="B864" s="337">
        <v>907</v>
      </c>
      <c r="C864" s="341" t="s">
        <v>507</v>
      </c>
      <c r="D864" s="341" t="s">
        <v>250</v>
      </c>
      <c r="E864" s="341" t="s">
        <v>912</v>
      </c>
      <c r="F864" s="341"/>
      <c r="G864" s="339">
        <f>G865</f>
        <v>5057.3</v>
      </c>
      <c r="H864" s="339">
        <f>H865</f>
        <v>2364.17</v>
      </c>
      <c r="I864" s="339">
        <f t="shared" si="64"/>
        <v>46.747671682518337</v>
      </c>
    </row>
    <row r="865" spans="1:10" s="218" customFormat="1" ht="31.5" x14ac:dyDescent="0.25">
      <c r="A865" s="340" t="s">
        <v>1002</v>
      </c>
      <c r="B865" s="337">
        <v>907</v>
      </c>
      <c r="C865" s="341" t="s">
        <v>507</v>
      </c>
      <c r="D865" s="341" t="s">
        <v>250</v>
      </c>
      <c r="E865" s="341" t="s">
        <v>987</v>
      </c>
      <c r="F865" s="341"/>
      <c r="G865" s="339">
        <f>G866+G873</f>
        <v>5057.3</v>
      </c>
      <c r="H865" s="339">
        <f>H866+H873</f>
        <v>2364.17</v>
      </c>
      <c r="I865" s="339">
        <f t="shared" si="64"/>
        <v>46.747671682518337</v>
      </c>
      <c r="J865" s="332"/>
    </row>
    <row r="866" spans="1:10" ht="31.5" x14ac:dyDescent="0.25">
      <c r="A866" s="342" t="s">
        <v>974</v>
      </c>
      <c r="B866" s="336">
        <v>907</v>
      </c>
      <c r="C866" s="338" t="s">
        <v>507</v>
      </c>
      <c r="D866" s="338" t="s">
        <v>250</v>
      </c>
      <c r="E866" s="338" t="s">
        <v>988</v>
      </c>
      <c r="F866" s="338"/>
      <c r="G866" s="343">
        <f>G867+G869+G871</f>
        <v>4973.3</v>
      </c>
      <c r="H866" s="343">
        <f>H867+H869+H871</f>
        <v>2280.17</v>
      </c>
      <c r="I866" s="343">
        <f t="shared" si="64"/>
        <v>45.84822954577443</v>
      </c>
    </row>
    <row r="867" spans="1:10" ht="72.75" customHeight="1" x14ac:dyDescent="0.25">
      <c r="A867" s="342" t="s">
        <v>143</v>
      </c>
      <c r="B867" s="336">
        <v>907</v>
      </c>
      <c r="C867" s="338" t="s">
        <v>507</v>
      </c>
      <c r="D867" s="338" t="s">
        <v>250</v>
      </c>
      <c r="E867" s="338" t="s">
        <v>988</v>
      </c>
      <c r="F867" s="338" t="s">
        <v>144</v>
      </c>
      <c r="G867" s="343">
        <f>G868</f>
        <v>4617</v>
      </c>
      <c r="H867" s="343">
        <f>H868</f>
        <v>2185.17</v>
      </c>
      <c r="I867" s="343">
        <f t="shared" si="64"/>
        <v>47.32878492527616</v>
      </c>
    </row>
    <row r="868" spans="1:10" ht="25.5" customHeight="1" x14ac:dyDescent="0.25">
      <c r="A868" s="342" t="s">
        <v>358</v>
      </c>
      <c r="B868" s="336">
        <v>907</v>
      </c>
      <c r="C868" s="338" t="s">
        <v>507</v>
      </c>
      <c r="D868" s="338" t="s">
        <v>250</v>
      </c>
      <c r="E868" s="338" t="s">
        <v>988</v>
      </c>
      <c r="F868" s="338" t="s">
        <v>225</v>
      </c>
      <c r="G868" s="344">
        <f>4454+64.3+46+40.7+12</f>
        <v>4617</v>
      </c>
      <c r="H868" s="344">
        <v>2185.17</v>
      </c>
      <c r="I868" s="343">
        <f t="shared" si="64"/>
        <v>47.32878492527616</v>
      </c>
    </row>
    <row r="869" spans="1:10" ht="31.5" x14ac:dyDescent="0.25">
      <c r="A869" s="342" t="s">
        <v>147</v>
      </c>
      <c r="B869" s="336">
        <v>907</v>
      </c>
      <c r="C869" s="338" t="s">
        <v>507</v>
      </c>
      <c r="D869" s="338" t="s">
        <v>250</v>
      </c>
      <c r="E869" s="338" t="s">
        <v>988</v>
      </c>
      <c r="F869" s="338" t="s">
        <v>148</v>
      </c>
      <c r="G869" s="343">
        <f>G870</f>
        <v>305.3</v>
      </c>
      <c r="H869" s="343">
        <f>H870</f>
        <v>95</v>
      </c>
      <c r="I869" s="343">
        <f t="shared" si="64"/>
        <v>31.116934163118241</v>
      </c>
    </row>
    <row r="870" spans="1:10" ht="31.5" x14ac:dyDescent="0.25">
      <c r="A870" s="342" t="s">
        <v>149</v>
      </c>
      <c r="B870" s="336">
        <v>907</v>
      </c>
      <c r="C870" s="338" t="s">
        <v>507</v>
      </c>
      <c r="D870" s="338" t="s">
        <v>250</v>
      </c>
      <c r="E870" s="338" t="s">
        <v>988</v>
      </c>
      <c r="F870" s="338" t="s">
        <v>150</v>
      </c>
      <c r="G870" s="344">
        <f>510-82.7-84-38</f>
        <v>305.3</v>
      </c>
      <c r="H870" s="344">
        <v>95</v>
      </c>
      <c r="I870" s="343">
        <f t="shared" si="64"/>
        <v>31.116934163118241</v>
      </c>
    </row>
    <row r="871" spans="1:10" ht="15.75" x14ac:dyDescent="0.25">
      <c r="A871" s="342" t="s">
        <v>151</v>
      </c>
      <c r="B871" s="336">
        <v>907</v>
      </c>
      <c r="C871" s="338" t="s">
        <v>507</v>
      </c>
      <c r="D871" s="338" t="s">
        <v>250</v>
      </c>
      <c r="E871" s="338" t="s">
        <v>988</v>
      </c>
      <c r="F871" s="338" t="s">
        <v>161</v>
      </c>
      <c r="G871" s="343">
        <f>G872</f>
        <v>51</v>
      </c>
      <c r="H871" s="343">
        <f>H872</f>
        <v>0</v>
      </c>
      <c r="I871" s="343">
        <f t="shared" si="64"/>
        <v>0</v>
      </c>
    </row>
    <row r="872" spans="1:10" ht="15.75" x14ac:dyDescent="0.25">
      <c r="A872" s="342" t="s">
        <v>584</v>
      </c>
      <c r="B872" s="336">
        <v>907</v>
      </c>
      <c r="C872" s="338" t="s">
        <v>507</v>
      </c>
      <c r="D872" s="338" t="s">
        <v>250</v>
      </c>
      <c r="E872" s="338" t="s">
        <v>988</v>
      </c>
      <c r="F872" s="338" t="s">
        <v>154</v>
      </c>
      <c r="G872" s="343">
        <f>27.1+24.1-0.2</f>
        <v>51</v>
      </c>
      <c r="H872" s="343">
        <v>0</v>
      </c>
      <c r="I872" s="343">
        <f t="shared" si="64"/>
        <v>0</v>
      </c>
    </row>
    <row r="873" spans="1:10" s="218" customFormat="1" ht="31.5" x14ac:dyDescent="0.25">
      <c r="A873" s="342" t="s">
        <v>885</v>
      </c>
      <c r="B873" s="336">
        <v>907</v>
      </c>
      <c r="C873" s="338" t="s">
        <v>507</v>
      </c>
      <c r="D873" s="338" t="s">
        <v>250</v>
      </c>
      <c r="E873" s="338" t="s">
        <v>989</v>
      </c>
      <c r="F873" s="338"/>
      <c r="G873" s="343">
        <f>G874</f>
        <v>84</v>
      </c>
      <c r="H873" s="343">
        <f>H874</f>
        <v>84</v>
      </c>
      <c r="I873" s="343">
        <f t="shared" si="64"/>
        <v>100</v>
      </c>
      <c r="J873" s="332"/>
    </row>
    <row r="874" spans="1:10" s="218" customFormat="1" ht="63" x14ac:dyDescent="0.25">
      <c r="A874" s="342" t="s">
        <v>143</v>
      </c>
      <c r="B874" s="336">
        <v>907</v>
      </c>
      <c r="C874" s="338" t="s">
        <v>507</v>
      </c>
      <c r="D874" s="338" t="s">
        <v>250</v>
      </c>
      <c r="E874" s="338" t="s">
        <v>989</v>
      </c>
      <c r="F874" s="338" t="s">
        <v>144</v>
      </c>
      <c r="G874" s="343">
        <f>G875</f>
        <v>84</v>
      </c>
      <c r="H874" s="343">
        <f>H875</f>
        <v>84</v>
      </c>
      <c r="I874" s="343">
        <f t="shared" si="64"/>
        <v>100</v>
      </c>
      <c r="J874" s="332"/>
    </row>
    <row r="875" spans="1:10" s="218" customFormat="1" ht="15.75" x14ac:dyDescent="0.25">
      <c r="A875" s="342" t="s">
        <v>358</v>
      </c>
      <c r="B875" s="336">
        <v>907</v>
      </c>
      <c r="C875" s="338" t="s">
        <v>507</v>
      </c>
      <c r="D875" s="338" t="s">
        <v>250</v>
      </c>
      <c r="E875" s="338" t="s">
        <v>989</v>
      </c>
      <c r="F875" s="338" t="s">
        <v>225</v>
      </c>
      <c r="G875" s="343">
        <f>210-210+84</f>
        <v>84</v>
      </c>
      <c r="H875" s="343">
        <v>84</v>
      </c>
      <c r="I875" s="343">
        <f t="shared" si="64"/>
        <v>100</v>
      </c>
      <c r="J875" s="332"/>
    </row>
    <row r="876" spans="1:10" s="218" customFormat="1" ht="47.25" x14ac:dyDescent="0.25">
      <c r="A876" s="41" t="s">
        <v>497</v>
      </c>
      <c r="B876" s="337">
        <v>907</v>
      </c>
      <c r="C876" s="341" t="s">
        <v>507</v>
      </c>
      <c r="D876" s="341" t="s">
        <v>250</v>
      </c>
      <c r="E876" s="334" t="s">
        <v>498</v>
      </c>
      <c r="F876" s="341"/>
      <c r="G876" s="339">
        <f t="shared" ref="G876:H878" si="66">G877</f>
        <v>3000</v>
      </c>
      <c r="H876" s="339">
        <f t="shared" si="66"/>
        <v>885.63</v>
      </c>
      <c r="I876" s="339">
        <f t="shared" si="64"/>
        <v>29.520999999999997</v>
      </c>
      <c r="J876" s="332"/>
    </row>
    <row r="877" spans="1:10" s="218" customFormat="1" ht="31.5" x14ac:dyDescent="0.25">
      <c r="A877" s="58" t="s">
        <v>517</v>
      </c>
      <c r="B877" s="337">
        <v>907</v>
      </c>
      <c r="C877" s="341" t="s">
        <v>507</v>
      </c>
      <c r="D877" s="341" t="s">
        <v>250</v>
      </c>
      <c r="E877" s="334" t="s">
        <v>518</v>
      </c>
      <c r="F877" s="341"/>
      <c r="G877" s="339">
        <f t="shared" si="66"/>
        <v>3000</v>
      </c>
      <c r="H877" s="339">
        <f t="shared" si="66"/>
        <v>885.63</v>
      </c>
      <c r="I877" s="339">
        <f t="shared" si="64"/>
        <v>29.520999999999997</v>
      </c>
      <c r="J877" s="332"/>
    </row>
    <row r="878" spans="1:10" s="218" customFormat="1" ht="31.5" x14ac:dyDescent="0.25">
      <c r="A878" s="58" t="s">
        <v>1086</v>
      </c>
      <c r="B878" s="337">
        <v>907</v>
      </c>
      <c r="C878" s="341" t="s">
        <v>507</v>
      </c>
      <c r="D878" s="341" t="s">
        <v>250</v>
      </c>
      <c r="E878" s="334" t="s">
        <v>1087</v>
      </c>
      <c r="F878" s="341"/>
      <c r="G878" s="339">
        <f t="shared" si="66"/>
        <v>3000</v>
      </c>
      <c r="H878" s="339">
        <f t="shared" si="66"/>
        <v>885.63</v>
      </c>
      <c r="I878" s="339">
        <f t="shared" si="64"/>
        <v>29.520999999999997</v>
      </c>
      <c r="J878" s="332"/>
    </row>
    <row r="879" spans="1:10" s="218" customFormat="1" ht="15.75" x14ac:dyDescent="0.25">
      <c r="A879" s="345" t="s">
        <v>1088</v>
      </c>
      <c r="B879" s="336">
        <v>907</v>
      </c>
      <c r="C879" s="338" t="s">
        <v>507</v>
      </c>
      <c r="D879" s="338" t="s">
        <v>250</v>
      </c>
      <c r="E879" s="346" t="s">
        <v>1236</v>
      </c>
      <c r="F879" s="338"/>
      <c r="G879" s="343">
        <f>G880+G882</f>
        <v>3000</v>
      </c>
      <c r="H879" s="343">
        <f>H880+H882</f>
        <v>885.63</v>
      </c>
      <c r="I879" s="343">
        <f t="shared" si="64"/>
        <v>29.520999999999997</v>
      </c>
      <c r="J879" s="332"/>
    </row>
    <row r="880" spans="1:10" s="218" customFormat="1" ht="63" x14ac:dyDescent="0.25">
      <c r="A880" s="342" t="s">
        <v>143</v>
      </c>
      <c r="B880" s="336">
        <v>907</v>
      </c>
      <c r="C880" s="338" t="s">
        <v>507</v>
      </c>
      <c r="D880" s="338" t="s">
        <v>250</v>
      </c>
      <c r="E880" s="346" t="s">
        <v>1236</v>
      </c>
      <c r="F880" s="338" t="s">
        <v>144</v>
      </c>
      <c r="G880" s="343">
        <f>G881</f>
        <v>2400</v>
      </c>
      <c r="H880" s="343">
        <f>H881</f>
        <v>453</v>
      </c>
      <c r="I880" s="343">
        <f t="shared" si="64"/>
        <v>18.875</v>
      </c>
      <c r="J880" s="332"/>
    </row>
    <row r="881" spans="1:10" s="218" customFormat="1" ht="15.75" x14ac:dyDescent="0.25">
      <c r="A881" s="342" t="s">
        <v>358</v>
      </c>
      <c r="B881" s="336">
        <v>907</v>
      </c>
      <c r="C881" s="338" t="s">
        <v>507</v>
      </c>
      <c r="D881" s="338" t="s">
        <v>250</v>
      </c>
      <c r="E881" s="346" t="s">
        <v>1236</v>
      </c>
      <c r="F881" s="338" t="s">
        <v>225</v>
      </c>
      <c r="G881" s="343">
        <f>1500+1000-100</f>
        <v>2400</v>
      </c>
      <c r="H881" s="343">
        <v>453</v>
      </c>
      <c r="I881" s="343">
        <f t="shared" si="64"/>
        <v>18.875</v>
      </c>
      <c r="J881" s="332"/>
    </row>
    <row r="882" spans="1:10" s="218" customFormat="1" ht="31.5" x14ac:dyDescent="0.25">
      <c r="A882" s="345" t="s">
        <v>147</v>
      </c>
      <c r="B882" s="336">
        <v>907</v>
      </c>
      <c r="C882" s="338" t="s">
        <v>507</v>
      </c>
      <c r="D882" s="338" t="s">
        <v>250</v>
      </c>
      <c r="E882" s="346" t="s">
        <v>1236</v>
      </c>
      <c r="F882" s="338" t="s">
        <v>148</v>
      </c>
      <c r="G882" s="343">
        <f>G883</f>
        <v>600</v>
      </c>
      <c r="H882" s="343">
        <f>H883</f>
        <v>432.63</v>
      </c>
      <c r="I882" s="343">
        <f t="shared" si="64"/>
        <v>72.10499999999999</v>
      </c>
      <c r="J882" s="332"/>
    </row>
    <row r="883" spans="1:10" s="218" customFormat="1" ht="31.5" x14ac:dyDescent="0.25">
      <c r="A883" s="345" t="s">
        <v>149</v>
      </c>
      <c r="B883" s="336">
        <v>907</v>
      </c>
      <c r="C883" s="338" t="s">
        <v>507</v>
      </c>
      <c r="D883" s="338" t="s">
        <v>250</v>
      </c>
      <c r="E883" s="346" t="s">
        <v>1236</v>
      </c>
      <c r="F883" s="338" t="s">
        <v>150</v>
      </c>
      <c r="G883" s="343">
        <f>500+100</f>
        <v>600</v>
      </c>
      <c r="H883" s="343">
        <v>432.63</v>
      </c>
      <c r="I883" s="343">
        <f t="shared" si="64"/>
        <v>72.10499999999999</v>
      </c>
      <c r="J883" s="332"/>
    </row>
    <row r="884" spans="1:10" ht="31.5" x14ac:dyDescent="0.25">
      <c r="A884" s="337" t="s">
        <v>520</v>
      </c>
      <c r="B884" s="337">
        <v>908</v>
      </c>
      <c r="C884" s="338"/>
      <c r="D884" s="338"/>
      <c r="E884" s="338"/>
      <c r="F884" s="338"/>
      <c r="G884" s="339">
        <f>G904+G911+G938+G1111+G885</f>
        <v>109957.20000000001</v>
      </c>
      <c r="H884" s="339">
        <f>H904+H911+H938+H1111+H885</f>
        <v>42407.990000000005</v>
      </c>
      <c r="I884" s="339">
        <f t="shared" si="64"/>
        <v>38.567724532818225</v>
      </c>
    </row>
    <row r="885" spans="1:10" ht="15.75" x14ac:dyDescent="0.25">
      <c r="A885" s="34" t="s">
        <v>133</v>
      </c>
      <c r="B885" s="337">
        <v>908</v>
      </c>
      <c r="C885" s="341" t="s">
        <v>134</v>
      </c>
      <c r="D885" s="338"/>
      <c r="E885" s="338"/>
      <c r="F885" s="338"/>
      <c r="G885" s="339">
        <f>G886</f>
        <v>38468.6</v>
      </c>
      <c r="H885" s="339">
        <f>H886</f>
        <v>19383.89</v>
      </c>
      <c r="I885" s="339">
        <f t="shared" si="64"/>
        <v>50.388862604825761</v>
      </c>
    </row>
    <row r="886" spans="1:10" ht="15.75" x14ac:dyDescent="0.25">
      <c r="A886" s="34" t="s">
        <v>155</v>
      </c>
      <c r="B886" s="337">
        <v>908</v>
      </c>
      <c r="C886" s="341" t="s">
        <v>134</v>
      </c>
      <c r="D886" s="341" t="s">
        <v>156</v>
      </c>
      <c r="E886" s="338"/>
      <c r="F886" s="338"/>
      <c r="G886" s="339">
        <f>G887</f>
        <v>38468.6</v>
      </c>
      <c r="H886" s="339">
        <f>H887</f>
        <v>19383.89</v>
      </c>
      <c r="I886" s="339">
        <f t="shared" si="64"/>
        <v>50.388862604825761</v>
      </c>
    </row>
    <row r="887" spans="1:10" ht="21.2" customHeight="1" x14ac:dyDescent="0.25">
      <c r="A887" s="340" t="s">
        <v>157</v>
      </c>
      <c r="B887" s="337">
        <v>908</v>
      </c>
      <c r="C887" s="341" t="s">
        <v>134</v>
      </c>
      <c r="D887" s="341" t="s">
        <v>156</v>
      </c>
      <c r="E887" s="341" t="s">
        <v>912</v>
      </c>
      <c r="F887" s="341"/>
      <c r="G887" s="44">
        <f>G888+G899</f>
        <v>38468.6</v>
      </c>
      <c r="H887" s="44">
        <f>H888+H899</f>
        <v>19383.89</v>
      </c>
      <c r="I887" s="339">
        <f t="shared" si="64"/>
        <v>50.388862604825761</v>
      </c>
    </row>
    <row r="888" spans="1:10" ht="15.75" x14ac:dyDescent="0.25">
      <c r="A888" s="340" t="s">
        <v>1090</v>
      </c>
      <c r="B888" s="337">
        <v>908</v>
      </c>
      <c r="C888" s="341" t="s">
        <v>134</v>
      </c>
      <c r="D888" s="341" t="s">
        <v>156</v>
      </c>
      <c r="E888" s="341" t="s">
        <v>1089</v>
      </c>
      <c r="F888" s="341"/>
      <c r="G888" s="44">
        <f>G892+G889</f>
        <v>38291.599999999999</v>
      </c>
      <c r="H888" s="44">
        <f>H892+H889</f>
        <v>19224.79</v>
      </c>
      <c r="I888" s="339">
        <f t="shared" si="64"/>
        <v>50.20628545163953</v>
      </c>
    </row>
    <row r="889" spans="1:10" s="218" customFormat="1" ht="31.5" x14ac:dyDescent="0.25">
      <c r="A889" s="342" t="s">
        <v>885</v>
      </c>
      <c r="B889" s="336">
        <v>908</v>
      </c>
      <c r="C889" s="338" t="s">
        <v>134</v>
      </c>
      <c r="D889" s="338" t="s">
        <v>156</v>
      </c>
      <c r="E889" s="338" t="s">
        <v>1092</v>
      </c>
      <c r="F889" s="338"/>
      <c r="G889" s="343">
        <f>G890</f>
        <v>1072</v>
      </c>
      <c r="H889" s="343">
        <f>H890</f>
        <v>972.5</v>
      </c>
      <c r="I889" s="343">
        <f t="shared" si="64"/>
        <v>90.718283582089555</v>
      </c>
      <c r="J889" s="332"/>
    </row>
    <row r="890" spans="1:10" s="218" customFormat="1" ht="63" x14ac:dyDescent="0.25">
      <c r="A890" s="342" t="s">
        <v>143</v>
      </c>
      <c r="B890" s="336">
        <v>908</v>
      </c>
      <c r="C890" s="338" t="s">
        <v>134</v>
      </c>
      <c r="D890" s="338" t="s">
        <v>156</v>
      </c>
      <c r="E890" s="338" t="s">
        <v>1092</v>
      </c>
      <c r="F890" s="338" t="s">
        <v>144</v>
      </c>
      <c r="G890" s="343">
        <f>G891</f>
        <v>1072</v>
      </c>
      <c r="H890" s="343">
        <f>H891</f>
        <v>972.5</v>
      </c>
      <c r="I890" s="343">
        <f t="shared" si="64"/>
        <v>90.718283582089555</v>
      </c>
      <c r="J890" s="332"/>
    </row>
    <row r="891" spans="1:10" s="218" customFormat="1" ht="31.5" x14ac:dyDescent="0.25">
      <c r="A891" s="342" t="s">
        <v>145</v>
      </c>
      <c r="B891" s="336">
        <v>908</v>
      </c>
      <c r="C891" s="338" t="s">
        <v>134</v>
      </c>
      <c r="D891" s="338" t="s">
        <v>156</v>
      </c>
      <c r="E891" s="338" t="s">
        <v>1092</v>
      </c>
      <c r="F891" s="338" t="s">
        <v>225</v>
      </c>
      <c r="G891" s="343">
        <f>672+400</f>
        <v>1072</v>
      </c>
      <c r="H891" s="343">
        <v>972.5</v>
      </c>
      <c r="I891" s="343">
        <f t="shared" si="64"/>
        <v>90.718283582089555</v>
      </c>
      <c r="J891" s="332"/>
    </row>
    <row r="892" spans="1:10" s="218" customFormat="1" ht="15.75" x14ac:dyDescent="0.25">
      <c r="A892" s="342" t="s">
        <v>834</v>
      </c>
      <c r="B892" s="336">
        <v>908</v>
      </c>
      <c r="C892" s="338" t="s">
        <v>134</v>
      </c>
      <c r="D892" s="338" t="s">
        <v>156</v>
      </c>
      <c r="E892" s="338" t="s">
        <v>1091</v>
      </c>
      <c r="F892" s="338"/>
      <c r="G892" s="344">
        <f>G893+G895+G897</f>
        <v>37219.599999999999</v>
      </c>
      <c r="H892" s="344">
        <f>H893+H895+H897</f>
        <v>18252.29</v>
      </c>
      <c r="I892" s="343">
        <f t="shared" si="64"/>
        <v>49.039457705080125</v>
      </c>
      <c r="J892" s="332"/>
    </row>
    <row r="893" spans="1:10" ht="74.25" customHeight="1" x14ac:dyDescent="0.25">
      <c r="A893" s="342" t="s">
        <v>143</v>
      </c>
      <c r="B893" s="336">
        <v>908</v>
      </c>
      <c r="C893" s="338" t="s">
        <v>134</v>
      </c>
      <c r="D893" s="338" t="s">
        <v>156</v>
      </c>
      <c r="E893" s="338" t="s">
        <v>1091</v>
      </c>
      <c r="F893" s="338" t="s">
        <v>144</v>
      </c>
      <c r="G893" s="344">
        <f>G894</f>
        <v>30152.400000000001</v>
      </c>
      <c r="H893" s="344">
        <f>H894</f>
        <v>15503.36</v>
      </c>
      <c r="I893" s="343">
        <f t="shared" si="64"/>
        <v>51.416669983152254</v>
      </c>
    </row>
    <row r="894" spans="1:10" ht="15.75" x14ac:dyDescent="0.25">
      <c r="A894" s="46" t="s">
        <v>358</v>
      </c>
      <c r="B894" s="336">
        <v>908</v>
      </c>
      <c r="C894" s="338" t="s">
        <v>134</v>
      </c>
      <c r="D894" s="338" t="s">
        <v>156</v>
      </c>
      <c r="E894" s="338" t="s">
        <v>1091</v>
      </c>
      <c r="F894" s="338" t="s">
        <v>225</v>
      </c>
      <c r="G894" s="344">
        <f>30180-27.6</f>
        <v>30152.400000000001</v>
      </c>
      <c r="H894" s="344">
        <v>15503.36</v>
      </c>
      <c r="I894" s="343">
        <f t="shared" si="64"/>
        <v>51.416669983152254</v>
      </c>
    </row>
    <row r="895" spans="1:10" ht="31.5" x14ac:dyDescent="0.25">
      <c r="A895" s="342" t="s">
        <v>147</v>
      </c>
      <c r="B895" s="336">
        <v>908</v>
      </c>
      <c r="C895" s="338" t="s">
        <v>134</v>
      </c>
      <c r="D895" s="338" t="s">
        <v>156</v>
      </c>
      <c r="E895" s="338" t="s">
        <v>1091</v>
      </c>
      <c r="F895" s="338" t="s">
        <v>148</v>
      </c>
      <c r="G895" s="344">
        <f>G896</f>
        <v>6566.2</v>
      </c>
      <c r="H895" s="344">
        <f>H896</f>
        <v>2360.06</v>
      </c>
      <c r="I895" s="343">
        <f t="shared" si="64"/>
        <v>35.942554293198505</v>
      </c>
    </row>
    <row r="896" spans="1:10" ht="31.5" x14ac:dyDescent="0.25">
      <c r="A896" s="342" t="s">
        <v>149</v>
      </c>
      <c r="B896" s="336">
        <v>908</v>
      </c>
      <c r="C896" s="338" t="s">
        <v>134</v>
      </c>
      <c r="D896" s="338" t="s">
        <v>156</v>
      </c>
      <c r="E896" s="338" t="s">
        <v>1091</v>
      </c>
      <c r="F896" s="338" t="s">
        <v>150</v>
      </c>
      <c r="G896" s="344">
        <f>7000-400+46.2-80</f>
        <v>6566.2</v>
      </c>
      <c r="H896" s="344">
        <v>2360.06</v>
      </c>
      <c r="I896" s="343">
        <f t="shared" si="64"/>
        <v>35.942554293198505</v>
      </c>
    </row>
    <row r="897" spans="1:9" ht="15.75" x14ac:dyDescent="0.25">
      <c r="A897" s="342" t="s">
        <v>151</v>
      </c>
      <c r="B897" s="336">
        <v>908</v>
      </c>
      <c r="C897" s="338" t="s">
        <v>134</v>
      </c>
      <c r="D897" s="338" t="s">
        <v>156</v>
      </c>
      <c r="E897" s="338" t="s">
        <v>1091</v>
      </c>
      <c r="F897" s="338" t="s">
        <v>161</v>
      </c>
      <c r="G897" s="344">
        <f>G898</f>
        <v>501</v>
      </c>
      <c r="H897" s="344">
        <f>H898</f>
        <v>388.87</v>
      </c>
      <c r="I897" s="343">
        <f t="shared" si="64"/>
        <v>77.618762475049891</v>
      </c>
    </row>
    <row r="898" spans="1:9" ht="15.75" x14ac:dyDescent="0.25">
      <c r="A898" s="342" t="s">
        <v>727</v>
      </c>
      <c r="B898" s="336">
        <v>908</v>
      </c>
      <c r="C898" s="338" t="s">
        <v>134</v>
      </c>
      <c r="D898" s="338" t="s">
        <v>156</v>
      </c>
      <c r="E898" s="338" t="s">
        <v>1091</v>
      </c>
      <c r="F898" s="338" t="s">
        <v>154</v>
      </c>
      <c r="G898" s="344">
        <f>421+80</f>
        <v>501</v>
      </c>
      <c r="H898" s="344">
        <v>388.87</v>
      </c>
      <c r="I898" s="343">
        <f t="shared" si="64"/>
        <v>77.618762475049891</v>
      </c>
    </row>
    <row r="899" spans="1:9" s="332" customFormat="1" ht="15.75" x14ac:dyDescent="0.25">
      <c r="A899" s="340" t="s">
        <v>157</v>
      </c>
      <c r="B899" s="337">
        <v>908</v>
      </c>
      <c r="C899" s="341" t="s">
        <v>134</v>
      </c>
      <c r="D899" s="341" t="s">
        <v>156</v>
      </c>
      <c r="E899" s="341" t="s">
        <v>912</v>
      </c>
      <c r="F899" s="338"/>
      <c r="G899" s="44">
        <f t="shared" ref="G899:H902" si="67">G900</f>
        <v>177</v>
      </c>
      <c r="H899" s="44">
        <f t="shared" si="67"/>
        <v>159.1</v>
      </c>
      <c r="I899" s="339">
        <f t="shared" si="64"/>
        <v>89.887005649717509</v>
      </c>
    </row>
    <row r="900" spans="1:9" s="332" customFormat="1" ht="31.5" x14ac:dyDescent="0.25">
      <c r="A900" s="340" t="s">
        <v>916</v>
      </c>
      <c r="B900" s="337">
        <v>908</v>
      </c>
      <c r="C900" s="341" t="s">
        <v>134</v>
      </c>
      <c r="D900" s="341" t="s">
        <v>156</v>
      </c>
      <c r="E900" s="341" t="s">
        <v>911</v>
      </c>
      <c r="F900" s="338"/>
      <c r="G900" s="44">
        <f t="shared" si="67"/>
        <v>177</v>
      </c>
      <c r="H900" s="44">
        <f t="shared" si="67"/>
        <v>159.1</v>
      </c>
      <c r="I900" s="339">
        <f t="shared" si="64"/>
        <v>89.887005649717509</v>
      </c>
    </row>
    <row r="901" spans="1:9" s="220" customFormat="1" ht="31.5" x14ac:dyDescent="0.25">
      <c r="A901" s="342" t="s">
        <v>1525</v>
      </c>
      <c r="B901" s="336">
        <v>908</v>
      </c>
      <c r="C901" s="338" t="s">
        <v>134</v>
      </c>
      <c r="D901" s="338" t="s">
        <v>156</v>
      </c>
      <c r="E901" s="338" t="s">
        <v>1526</v>
      </c>
      <c r="F901" s="338"/>
      <c r="G901" s="344">
        <f t="shared" si="67"/>
        <v>177</v>
      </c>
      <c r="H901" s="344">
        <f t="shared" si="67"/>
        <v>159.1</v>
      </c>
      <c r="I901" s="343">
        <f t="shared" si="64"/>
        <v>89.887005649717509</v>
      </c>
    </row>
    <row r="902" spans="1:9" s="220" customFormat="1" ht="63" x14ac:dyDescent="0.25">
      <c r="A902" s="342" t="s">
        <v>143</v>
      </c>
      <c r="B902" s="336">
        <v>908</v>
      </c>
      <c r="C902" s="338" t="s">
        <v>134</v>
      </c>
      <c r="D902" s="338" t="s">
        <v>156</v>
      </c>
      <c r="E902" s="338" t="s">
        <v>1526</v>
      </c>
      <c r="F902" s="338" t="s">
        <v>144</v>
      </c>
      <c r="G902" s="344">
        <f t="shared" si="67"/>
        <v>177</v>
      </c>
      <c r="H902" s="344">
        <f t="shared" si="67"/>
        <v>159.1</v>
      </c>
      <c r="I902" s="343">
        <f t="shared" si="64"/>
        <v>89.887005649717509</v>
      </c>
    </row>
    <row r="903" spans="1:9" s="220" customFormat="1" ht="15.75" x14ac:dyDescent="0.25">
      <c r="A903" s="46" t="s">
        <v>358</v>
      </c>
      <c r="B903" s="336">
        <v>908</v>
      </c>
      <c r="C903" s="338" t="s">
        <v>134</v>
      </c>
      <c r="D903" s="338" t="s">
        <v>156</v>
      </c>
      <c r="E903" s="338" t="s">
        <v>1526</v>
      </c>
      <c r="F903" s="338" t="s">
        <v>225</v>
      </c>
      <c r="G903" s="344">
        <v>177</v>
      </c>
      <c r="H903" s="344">
        <v>159.1</v>
      </c>
      <c r="I903" s="343">
        <f t="shared" si="64"/>
        <v>89.887005649717509</v>
      </c>
    </row>
    <row r="904" spans="1:9" ht="31.5" x14ac:dyDescent="0.25">
      <c r="A904" s="340" t="s">
        <v>238</v>
      </c>
      <c r="B904" s="337">
        <v>908</v>
      </c>
      <c r="C904" s="341" t="s">
        <v>231</v>
      </c>
      <c r="D904" s="341"/>
      <c r="E904" s="341"/>
      <c r="F904" s="341"/>
      <c r="G904" s="339">
        <f t="shared" ref="G904:H909" si="68">G905</f>
        <v>107</v>
      </c>
      <c r="H904" s="339">
        <f t="shared" si="68"/>
        <v>0</v>
      </c>
      <c r="I904" s="339">
        <f t="shared" si="64"/>
        <v>0</v>
      </c>
    </row>
    <row r="905" spans="1:9" ht="51" customHeight="1" x14ac:dyDescent="0.25">
      <c r="A905" s="340" t="s">
        <v>239</v>
      </c>
      <c r="B905" s="337">
        <v>908</v>
      </c>
      <c r="C905" s="341" t="s">
        <v>231</v>
      </c>
      <c r="D905" s="341" t="s">
        <v>235</v>
      </c>
      <c r="E905" s="341"/>
      <c r="F905" s="341"/>
      <c r="G905" s="339">
        <f t="shared" si="68"/>
        <v>107</v>
      </c>
      <c r="H905" s="339">
        <f t="shared" si="68"/>
        <v>0</v>
      </c>
      <c r="I905" s="339">
        <f t="shared" si="64"/>
        <v>0</v>
      </c>
    </row>
    <row r="906" spans="1:9" ht="21.75" customHeight="1" x14ac:dyDescent="0.25">
      <c r="A906" s="340" t="s">
        <v>157</v>
      </c>
      <c r="B906" s="337">
        <v>908</v>
      </c>
      <c r="C906" s="341" t="s">
        <v>231</v>
      </c>
      <c r="D906" s="341" t="s">
        <v>235</v>
      </c>
      <c r="E906" s="341" t="s">
        <v>912</v>
      </c>
      <c r="F906" s="341"/>
      <c r="G906" s="339">
        <f t="shared" si="68"/>
        <v>107</v>
      </c>
      <c r="H906" s="339">
        <f t="shared" si="68"/>
        <v>0</v>
      </c>
      <c r="I906" s="339">
        <f t="shared" si="64"/>
        <v>0</v>
      </c>
    </row>
    <row r="907" spans="1:9" ht="31.5" x14ac:dyDescent="0.25">
      <c r="A907" s="340" t="s">
        <v>916</v>
      </c>
      <c r="B907" s="337">
        <v>908</v>
      </c>
      <c r="C907" s="341" t="s">
        <v>231</v>
      </c>
      <c r="D907" s="341" t="s">
        <v>235</v>
      </c>
      <c r="E907" s="341" t="s">
        <v>911</v>
      </c>
      <c r="F907" s="341"/>
      <c r="G907" s="339">
        <f t="shared" si="68"/>
        <v>107</v>
      </c>
      <c r="H907" s="339">
        <f t="shared" si="68"/>
        <v>0</v>
      </c>
      <c r="I907" s="339">
        <f t="shared" ref="I907:I970" si="69">H907/G907*100</f>
        <v>0</v>
      </c>
    </row>
    <row r="908" spans="1:9" ht="15.75" x14ac:dyDescent="0.25">
      <c r="A908" s="342" t="s">
        <v>246</v>
      </c>
      <c r="B908" s="336">
        <v>908</v>
      </c>
      <c r="C908" s="338" t="s">
        <v>231</v>
      </c>
      <c r="D908" s="338" t="s">
        <v>235</v>
      </c>
      <c r="E908" s="338" t="s">
        <v>922</v>
      </c>
      <c r="F908" s="338"/>
      <c r="G908" s="343">
        <f t="shared" si="68"/>
        <v>107</v>
      </c>
      <c r="H908" s="343">
        <f t="shared" si="68"/>
        <v>0</v>
      </c>
      <c r="I908" s="343">
        <f t="shared" si="69"/>
        <v>0</v>
      </c>
    </row>
    <row r="909" spans="1:9" ht="31.5" x14ac:dyDescent="0.25">
      <c r="A909" s="342" t="s">
        <v>147</v>
      </c>
      <c r="B909" s="336">
        <v>908</v>
      </c>
      <c r="C909" s="338" t="s">
        <v>231</v>
      </c>
      <c r="D909" s="338" t="s">
        <v>235</v>
      </c>
      <c r="E909" s="338" t="s">
        <v>922</v>
      </c>
      <c r="F909" s="338" t="s">
        <v>148</v>
      </c>
      <c r="G909" s="343">
        <f t="shared" si="68"/>
        <v>107</v>
      </c>
      <c r="H909" s="343">
        <f t="shared" si="68"/>
        <v>0</v>
      </c>
      <c r="I909" s="343">
        <f t="shared" si="69"/>
        <v>0</v>
      </c>
    </row>
    <row r="910" spans="1:9" ht="31.5" x14ac:dyDescent="0.25">
      <c r="A910" s="342" t="s">
        <v>149</v>
      </c>
      <c r="B910" s="336">
        <v>908</v>
      </c>
      <c r="C910" s="338" t="s">
        <v>231</v>
      </c>
      <c r="D910" s="338" t="s">
        <v>235</v>
      </c>
      <c r="E910" s="338" t="s">
        <v>922</v>
      </c>
      <c r="F910" s="338" t="s">
        <v>150</v>
      </c>
      <c r="G910" s="343">
        <v>107</v>
      </c>
      <c r="H910" s="343">
        <v>0</v>
      </c>
      <c r="I910" s="343">
        <f t="shared" si="69"/>
        <v>0</v>
      </c>
    </row>
    <row r="911" spans="1:9" ht="15.75" x14ac:dyDescent="0.25">
      <c r="A911" s="340" t="s">
        <v>248</v>
      </c>
      <c r="B911" s="337">
        <v>908</v>
      </c>
      <c r="C911" s="341" t="s">
        <v>166</v>
      </c>
      <c r="D911" s="341"/>
      <c r="E911" s="341"/>
      <c r="F911" s="341"/>
      <c r="G911" s="339">
        <f>G912+G918+G932</f>
        <v>7054</v>
      </c>
      <c r="H911" s="339">
        <f>H912+H918+H932</f>
        <v>2860.97</v>
      </c>
      <c r="I911" s="339">
        <f t="shared" si="69"/>
        <v>40.558123050751341</v>
      </c>
    </row>
    <row r="912" spans="1:9" ht="15.75" x14ac:dyDescent="0.25">
      <c r="A912" s="340" t="s">
        <v>521</v>
      </c>
      <c r="B912" s="337">
        <v>908</v>
      </c>
      <c r="C912" s="341" t="s">
        <v>166</v>
      </c>
      <c r="D912" s="341" t="s">
        <v>315</v>
      </c>
      <c r="E912" s="341"/>
      <c r="F912" s="341"/>
      <c r="G912" s="339">
        <f t="shared" ref="G912:H916" si="70">G913</f>
        <v>3258</v>
      </c>
      <c r="H912" s="339">
        <f t="shared" si="70"/>
        <v>1304.5999999999999</v>
      </c>
      <c r="I912" s="339">
        <f t="shared" si="69"/>
        <v>40.042971147943526</v>
      </c>
    </row>
    <row r="913" spans="1:10" ht="15.75" x14ac:dyDescent="0.25">
      <c r="A913" s="340" t="s">
        <v>157</v>
      </c>
      <c r="B913" s="337">
        <v>908</v>
      </c>
      <c r="C913" s="341" t="s">
        <v>166</v>
      </c>
      <c r="D913" s="341" t="s">
        <v>315</v>
      </c>
      <c r="E913" s="341" t="s">
        <v>912</v>
      </c>
      <c r="F913" s="341"/>
      <c r="G913" s="339">
        <f t="shared" si="70"/>
        <v>3258</v>
      </c>
      <c r="H913" s="339">
        <f t="shared" si="70"/>
        <v>1304.5999999999999</v>
      </c>
      <c r="I913" s="339">
        <f t="shared" si="69"/>
        <v>40.042971147943526</v>
      </c>
    </row>
    <row r="914" spans="1:10" ht="31.5" x14ac:dyDescent="0.25">
      <c r="A914" s="340" t="s">
        <v>916</v>
      </c>
      <c r="B914" s="337">
        <v>908</v>
      </c>
      <c r="C914" s="341" t="s">
        <v>166</v>
      </c>
      <c r="D914" s="341" t="s">
        <v>315</v>
      </c>
      <c r="E914" s="341" t="s">
        <v>911</v>
      </c>
      <c r="F914" s="341"/>
      <c r="G914" s="339">
        <f t="shared" si="70"/>
        <v>3258</v>
      </c>
      <c r="H914" s="339">
        <f t="shared" si="70"/>
        <v>1304.5999999999999</v>
      </c>
      <c r="I914" s="339">
        <f t="shared" si="69"/>
        <v>40.042971147943526</v>
      </c>
    </row>
    <row r="915" spans="1:10" ht="18" customHeight="1" x14ac:dyDescent="0.25">
      <c r="A915" s="342" t="s">
        <v>522</v>
      </c>
      <c r="B915" s="336">
        <v>908</v>
      </c>
      <c r="C915" s="338" t="s">
        <v>166</v>
      </c>
      <c r="D915" s="338" t="s">
        <v>315</v>
      </c>
      <c r="E915" s="338" t="s">
        <v>1093</v>
      </c>
      <c r="F915" s="338"/>
      <c r="G915" s="343">
        <f t="shared" si="70"/>
        <v>3258</v>
      </c>
      <c r="H915" s="343">
        <f t="shared" si="70"/>
        <v>1304.5999999999999</v>
      </c>
      <c r="I915" s="343">
        <f t="shared" si="69"/>
        <v>40.042971147943526</v>
      </c>
    </row>
    <row r="916" spans="1:10" ht="31.5" x14ac:dyDescent="0.25">
      <c r="A916" s="342" t="s">
        <v>147</v>
      </c>
      <c r="B916" s="336">
        <v>908</v>
      </c>
      <c r="C916" s="338" t="s">
        <v>166</v>
      </c>
      <c r="D916" s="338" t="s">
        <v>315</v>
      </c>
      <c r="E916" s="338" t="s">
        <v>1093</v>
      </c>
      <c r="F916" s="338" t="s">
        <v>148</v>
      </c>
      <c r="G916" s="343">
        <f t="shared" si="70"/>
        <v>3258</v>
      </c>
      <c r="H916" s="343">
        <f t="shared" si="70"/>
        <v>1304.5999999999999</v>
      </c>
      <c r="I916" s="343">
        <f t="shared" si="69"/>
        <v>40.042971147943526</v>
      </c>
    </row>
    <row r="917" spans="1:10" ht="31.5" x14ac:dyDescent="0.25">
      <c r="A917" s="342" t="s">
        <v>149</v>
      </c>
      <c r="B917" s="336">
        <v>908</v>
      </c>
      <c r="C917" s="338" t="s">
        <v>166</v>
      </c>
      <c r="D917" s="338" t="s">
        <v>315</v>
      </c>
      <c r="E917" s="338" t="s">
        <v>1093</v>
      </c>
      <c r="F917" s="338" t="s">
        <v>150</v>
      </c>
      <c r="G917" s="343">
        <v>3258</v>
      </c>
      <c r="H917" s="343">
        <v>1304.5999999999999</v>
      </c>
      <c r="I917" s="343">
        <f t="shared" si="69"/>
        <v>40.042971147943526</v>
      </c>
    </row>
    <row r="918" spans="1:10" ht="15.75" x14ac:dyDescent="0.25">
      <c r="A918" s="340" t="s">
        <v>524</v>
      </c>
      <c r="B918" s="337">
        <v>908</v>
      </c>
      <c r="C918" s="341" t="s">
        <v>166</v>
      </c>
      <c r="D918" s="341" t="s">
        <v>235</v>
      </c>
      <c r="E918" s="338"/>
      <c r="F918" s="341"/>
      <c r="G918" s="339">
        <f>G919</f>
        <v>3446</v>
      </c>
      <c r="H918" s="339">
        <f>H919</f>
        <v>1556.37</v>
      </c>
      <c r="I918" s="339">
        <f t="shared" si="69"/>
        <v>45.164538595473012</v>
      </c>
    </row>
    <row r="919" spans="1:10" ht="47.25" x14ac:dyDescent="0.25">
      <c r="A919" s="34" t="s">
        <v>1180</v>
      </c>
      <c r="B919" s="337">
        <v>908</v>
      </c>
      <c r="C919" s="341" t="s">
        <v>166</v>
      </c>
      <c r="D919" s="341" t="s">
        <v>235</v>
      </c>
      <c r="E919" s="341" t="s">
        <v>526</v>
      </c>
      <c r="F919" s="341"/>
      <c r="G919" s="339">
        <f>G925+G920</f>
        <v>3446</v>
      </c>
      <c r="H919" s="339">
        <f>H925+H920</f>
        <v>1556.37</v>
      </c>
      <c r="I919" s="339">
        <f t="shared" si="69"/>
        <v>45.164538595473012</v>
      </c>
    </row>
    <row r="920" spans="1:10" s="218" customFormat="1" ht="31.5" hidden="1" x14ac:dyDescent="0.25">
      <c r="A920" s="34" t="s">
        <v>1150</v>
      </c>
      <c r="B920" s="337">
        <v>908</v>
      </c>
      <c r="C920" s="341" t="s">
        <v>166</v>
      </c>
      <c r="D920" s="341" t="s">
        <v>235</v>
      </c>
      <c r="E920" s="334" t="s">
        <v>1094</v>
      </c>
      <c r="F920" s="341"/>
      <c r="G920" s="339">
        <f t="shared" ref="G920:H922" si="71">G921</f>
        <v>0</v>
      </c>
      <c r="H920" s="339">
        <f t="shared" si="71"/>
        <v>0</v>
      </c>
      <c r="I920" s="339" t="e">
        <f t="shared" si="69"/>
        <v>#DIV/0!</v>
      </c>
      <c r="J920" s="332"/>
    </row>
    <row r="921" spans="1:10" s="218" customFormat="1" ht="15.75" hidden="1" x14ac:dyDescent="0.25">
      <c r="A921" s="345" t="s">
        <v>1152</v>
      </c>
      <c r="B921" s="336">
        <v>908</v>
      </c>
      <c r="C921" s="338" t="s">
        <v>166</v>
      </c>
      <c r="D921" s="338" t="s">
        <v>235</v>
      </c>
      <c r="E921" s="346" t="s">
        <v>1151</v>
      </c>
      <c r="F921" s="338"/>
      <c r="G921" s="343">
        <f t="shared" si="71"/>
        <v>0</v>
      </c>
      <c r="H921" s="343">
        <f t="shared" si="71"/>
        <v>0</v>
      </c>
      <c r="I921" s="339" t="e">
        <f t="shared" si="69"/>
        <v>#DIV/0!</v>
      </c>
      <c r="J921" s="332"/>
    </row>
    <row r="922" spans="1:10" s="218" customFormat="1" ht="31.5" hidden="1" x14ac:dyDescent="0.25">
      <c r="A922" s="342" t="s">
        <v>147</v>
      </c>
      <c r="B922" s="336">
        <v>908</v>
      </c>
      <c r="C922" s="338" t="s">
        <v>166</v>
      </c>
      <c r="D922" s="338" t="s">
        <v>235</v>
      </c>
      <c r="E922" s="346" t="s">
        <v>1151</v>
      </c>
      <c r="F922" s="338" t="s">
        <v>148</v>
      </c>
      <c r="G922" s="343">
        <f t="shared" si="71"/>
        <v>0</v>
      </c>
      <c r="H922" s="343">
        <f t="shared" si="71"/>
        <v>0</v>
      </c>
      <c r="I922" s="339" t="e">
        <f t="shared" si="69"/>
        <v>#DIV/0!</v>
      </c>
      <c r="J922" s="332"/>
    </row>
    <row r="923" spans="1:10" s="218" customFormat="1" ht="31.5" hidden="1" x14ac:dyDescent="0.25">
      <c r="A923" s="342" t="s">
        <v>149</v>
      </c>
      <c r="B923" s="336">
        <v>908</v>
      </c>
      <c r="C923" s="338" t="s">
        <v>166</v>
      </c>
      <c r="D923" s="338" t="s">
        <v>235</v>
      </c>
      <c r="E923" s="346" t="s">
        <v>1151</v>
      </c>
      <c r="F923" s="338" t="s">
        <v>150</v>
      </c>
      <c r="G923" s="343">
        <v>0</v>
      </c>
      <c r="H923" s="343">
        <v>0</v>
      </c>
      <c r="I923" s="339" t="e">
        <f t="shared" si="69"/>
        <v>#DIV/0!</v>
      </c>
      <c r="J923" s="332"/>
    </row>
    <row r="924" spans="1:10" s="218" customFormat="1" ht="31.5" x14ac:dyDescent="0.25">
      <c r="A924" s="34" t="s">
        <v>1237</v>
      </c>
      <c r="B924" s="337">
        <v>908</v>
      </c>
      <c r="C924" s="341" t="s">
        <v>166</v>
      </c>
      <c r="D924" s="341" t="s">
        <v>235</v>
      </c>
      <c r="E924" s="341" t="s">
        <v>1095</v>
      </c>
      <c r="F924" s="341"/>
      <c r="G924" s="339">
        <f>G925</f>
        <v>3446</v>
      </c>
      <c r="H924" s="339">
        <f>H925</f>
        <v>1556.37</v>
      </c>
      <c r="I924" s="339">
        <f t="shared" si="69"/>
        <v>45.164538595473012</v>
      </c>
      <c r="J924" s="332"/>
    </row>
    <row r="925" spans="1:10" ht="15.75" x14ac:dyDescent="0.25">
      <c r="A925" s="345" t="s">
        <v>527</v>
      </c>
      <c r="B925" s="336">
        <v>908</v>
      </c>
      <c r="C925" s="338" t="s">
        <v>166</v>
      </c>
      <c r="D925" s="338" t="s">
        <v>235</v>
      </c>
      <c r="E925" s="346" t="s">
        <v>1153</v>
      </c>
      <c r="F925" s="338"/>
      <c r="G925" s="343">
        <f>G928+G930+G926</f>
        <v>3446</v>
      </c>
      <c r="H925" s="343">
        <f>H928+H930+H926</f>
        <v>1556.37</v>
      </c>
      <c r="I925" s="343">
        <f t="shared" si="69"/>
        <v>45.164538595473012</v>
      </c>
    </row>
    <row r="926" spans="1:10" s="218" customFormat="1" ht="63" x14ac:dyDescent="0.25">
      <c r="A926" s="342" t="s">
        <v>143</v>
      </c>
      <c r="B926" s="336">
        <v>908</v>
      </c>
      <c r="C926" s="338" t="s">
        <v>166</v>
      </c>
      <c r="D926" s="338" t="s">
        <v>235</v>
      </c>
      <c r="E926" s="346" t="s">
        <v>1153</v>
      </c>
      <c r="F926" s="338" t="s">
        <v>144</v>
      </c>
      <c r="G926" s="343">
        <f>G927</f>
        <v>1791.3</v>
      </c>
      <c r="H926" s="343">
        <f>H927</f>
        <v>1035.94</v>
      </c>
      <c r="I926" s="343">
        <f t="shared" si="69"/>
        <v>57.83174231005416</v>
      </c>
      <c r="J926" s="332"/>
    </row>
    <row r="927" spans="1:10" s="218" customFormat="1" ht="15.75" x14ac:dyDescent="0.25">
      <c r="A927" s="342" t="s">
        <v>358</v>
      </c>
      <c r="B927" s="336">
        <v>908</v>
      </c>
      <c r="C927" s="338" t="s">
        <v>166</v>
      </c>
      <c r="D927" s="338" t="s">
        <v>235</v>
      </c>
      <c r="E927" s="346" t="s">
        <v>1153</v>
      </c>
      <c r="F927" s="338" t="s">
        <v>225</v>
      </c>
      <c r="G927" s="343">
        <v>1791.3</v>
      </c>
      <c r="H927" s="343">
        <v>1035.94</v>
      </c>
      <c r="I927" s="343">
        <f t="shared" si="69"/>
        <v>57.83174231005416</v>
      </c>
      <c r="J927" s="332"/>
    </row>
    <row r="928" spans="1:10" ht="31.5" x14ac:dyDescent="0.25">
      <c r="A928" s="342" t="s">
        <v>147</v>
      </c>
      <c r="B928" s="336">
        <v>908</v>
      </c>
      <c r="C928" s="338" t="s">
        <v>166</v>
      </c>
      <c r="D928" s="338" t="s">
        <v>235</v>
      </c>
      <c r="E928" s="346" t="s">
        <v>1153</v>
      </c>
      <c r="F928" s="338" t="s">
        <v>148</v>
      </c>
      <c r="G928" s="343">
        <f>G929</f>
        <v>1654.7</v>
      </c>
      <c r="H928" s="343">
        <f>H929</f>
        <v>520.42999999999995</v>
      </c>
      <c r="I928" s="343">
        <f t="shared" si="69"/>
        <v>31.451622650631535</v>
      </c>
    </row>
    <row r="929" spans="1:10" ht="31.5" x14ac:dyDescent="0.25">
      <c r="A929" s="342" t="s">
        <v>149</v>
      </c>
      <c r="B929" s="336">
        <v>908</v>
      </c>
      <c r="C929" s="338" t="s">
        <v>166</v>
      </c>
      <c r="D929" s="338" t="s">
        <v>235</v>
      </c>
      <c r="E929" s="346" t="s">
        <v>1153</v>
      </c>
      <c r="F929" s="338" t="s">
        <v>150</v>
      </c>
      <c r="G929" s="343">
        <f>3446-1791.3</f>
        <v>1654.7</v>
      </c>
      <c r="H929" s="343">
        <v>520.42999999999995</v>
      </c>
      <c r="I929" s="343">
        <f t="shared" si="69"/>
        <v>31.451622650631535</v>
      </c>
    </row>
    <row r="930" spans="1:10" ht="15.75" hidden="1" x14ac:dyDescent="0.25">
      <c r="A930" s="342" t="s">
        <v>151</v>
      </c>
      <c r="B930" s="336">
        <v>908</v>
      </c>
      <c r="C930" s="338" t="s">
        <v>166</v>
      </c>
      <c r="D930" s="338" t="s">
        <v>235</v>
      </c>
      <c r="E930" s="346" t="s">
        <v>1153</v>
      </c>
      <c r="F930" s="338" t="s">
        <v>161</v>
      </c>
      <c r="G930" s="343">
        <f>G931</f>
        <v>0</v>
      </c>
      <c r="H930" s="343">
        <f>H931</f>
        <v>0</v>
      </c>
      <c r="I930" s="343" t="e">
        <f t="shared" si="69"/>
        <v>#DIV/0!</v>
      </c>
    </row>
    <row r="931" spans="1:10" ht="15.75" hidden="1" x14ac:dyDescent="0.25">
      <c r="A931" s="342" t="s">
        <v>584</v>
      </c>
      <c r="B931" s="336">
        <v>908</v>
      </c>
      <c r="C931" s="338" t="s">
        <v>166</v>
      </c>
      <c r="D931" s="338" t="s">
        <v>235</v>
      </c>
      <c r="E931" s="346" t="s">
        <v>1153</v>
      </c>
      <c r="F931" s="338" t="s">
        <v>154</v>
      </c>
      <c r="G931" s="343">
        <v>0</v>
      </c>
      <c r="H931" s="343">
        <v>0</v>
      </c>
      <c r="I931" s="343" t="e">
        <f t="shared" si="69"/>
        <v>#DIV/0!</v>
      </c>
    </row>
    <row r="932" spans="1:10" s="218" customFormat="1" ht="15.75" x14ac:dyDescent="0.25">
      <c r="A932" s="340" t="s">
        <v>253</v>
      </c>
      <c r="B932" s="337">
        <v>908</v>
      </c>
      <c r="C932" s="341" t="s">
        <v>166</v>
      </c>
      <c r="D932" s="341" t="s">
        <v>254</v>
      </c>
      <c r="E932" s="334"/>
      <c r="F932" s="341"/>
      <c r="G932" s="339">
        <f t="shared" ref="G932:H936" si="72">G933</f>
        <v>350</v>
      </c>
      <c r="H932" s="339">
        <f t="shared" si="72"/>
        <v>0</v>
      </c>
      <c r="I932" s="339">
        <f t="shared" si="69"/>
        <v>0</v>
      </c>
      <c r="J932" s="332"/>
    </row>
    <row r="933" spans="1:10" s="218" customFormat="1" ht="15.75" x14ac:dyDescent="0.25">
      <c r="A933" s="340" t="s">
        <v>157</v>
      </c>
      <c r="B933" s="337">
        <v>908</v>
      </c>
      <c r="C933" s="341" t="s">
        <v>166</v>
      </c>
      <c r="D933" s="341" t="s">
        <v>254</v>
      </c>
      <c r="E933" s="341" t="s">
        <v>912</v>
      </c>
      <c r="F933" s="338"/>
      <c r="G933" s="339">
        <f t="shared" si="72"/>
        <v>350</v>
      </c>
      <c r="H933" s="339">
        <f t="shared" si="72"/>
        <v>0</v>
      </c>
      <c r="I933" s="339">
        <f t="shared" si="69"/>
        <v>0</v>
      </c>
      <c r="J933" s="332"/>
    </row>
    <row r="934" spans="1:10" s="218" customFormat="1" ht="31.5" x14ac:dyDescent="0.25">
      <c r="A934" s="340" t="s">
        <v>916</v>
      </c>
      <c r="B934" s="337">
        <v>908</v>
      </c>
      <c r="C934" s="341" t="s">
        <v>166</v>
      </c>
      <c r="D934" s="341" t="s">
        <v>254</v>
      </c>
      <c r="E934" s="341" t="s">
        <v>911</v>
      </c>
      <c r="F934" s="338"/>
      <c r="G934" s="339">
        <f t="shared" si="72"/>
        <v>350</v>
      </c>
      <c r="H934" s="339">
        <f t="shared" si="72"/>
        <v>0</v>
      </c>
      <c r="I934" s="339">
        <f t="shared" si="69"/>
        <v>0</v>
      </c>
      <c r="J934" s="332"/>
    </row>
    <row r="935" spans="1:10" s="218" customFormat="1" ht="15.75" x14ac:dyDescent="0.25">
      <c r="A935" s="342" t="s">
        <v>1512</v>
      </c>
      <c r="B935" s="336">
        <v>908</v>
      </c>
      <c r="C935" s="338" t="s">
        <v>166</v>
      </c>
      <c r="D935" s="338" t="s">
        <v>254</v>
      </c>
      <c r="E935" s="338" t="s">
        <v>1513</v>
      </c>
      <c r="F935" s="338"/>
      <c r="G935" s="343">
        <f t="shared" si="72"/>
        <v>350</v>
      </c>
      <c r="H935" s="343">
        <f t="shared" si="72"/>
        <v>0</v>
      </c>
      <c r="I935" s="343">
        <f t="shared" si="69"/>
        <v>0</v>
      </c>
      <c r="J935" s="332"/>
    </row>
    <row r="936" spans="1:10" s="218" customFormat="1" ht="31.5" x14ac:dyDescent="0.25">
      <c r="A936" s="342" t="s">
        <v>147</v>
      </c>
      <c r="B936" s="336">
        <v>908</v>
      </c>
      <c r="C936" s="338" t="s">
        <v>166</v>
      </c>
      <c r="D936" s="338" t="s">
        <v>254</v>
      </c>
      <c r="E936" s="338" t="s">
        <v>1513</v>
      </c>
      <c r="F936" s="338" t="s">
        <v>148</v>
      </c>
      <c r="G936" s="343">
        <f t="shared" si="72"/>
        <v>350</v>
      </c>
      <c r="H936" s="343">
        <f t="shared" si="72"/>
        <v>0</v>
      </c>
      <c r="I936" s="343">
        <f t="shared" si="69"/>
        <v>0</v>
      </c>
      <c r="J936" s="332"/>
    </row>
    <row r="937" spans="1:10" s="218" customFormat="1" ht="31.5" x14ac:dyDescent="0.25">
      <c r="A937" s="342" t="s">
        <v>149</v>
      </c>
      <c r="B937" s="336">
        <v>908</v>
      </c>
      <c r="C937" s="338" t="s">
        <v>166</v>
      </c>
      <c r="D937" s="338" t="s">
        <v>254</v>
      </c>
      <c r="E937" s="338" t="s">
        <v>1513</v>
      </c>
      <c r="F937" s="338" t="s">
        <v>150</v>
      </c>
      <c r="G937" s="343">
        <v>350</v>
      </c>
      <c r="H937" s="343">
        <v>0</v>
      </c>
      <c r="I937" s="343">
        <f t="shared" si="69"/>
        <v>0</v>
      </c>
      <c r="J937" s="332"/>
    </row>
    <row r="938" spans="1:10" ht="15.75" x14ac:dyDescent="0.25">
      <c r="A938" s="340" t="s">
        <v>406</v>
      </c>
      <c r="B938" s="337">
        <v>908</v>
      </c>
      <c r="C938" s="341" t="s">
        <v>250</v>
      </c>
      <c r="D938" s="341"/>
      <c r="E938" s="341"/>
      <c r="F938" s="341"/>
      <c r="G938" s="339">
        <f>G939+G956+G1023+G1074</f>
        <v>64213</v>
      </c>
      <c r="H938" s="339">
        <f>H939+H956+H1023+H1074</f>
        <v>20163.130000000005</v>
      </c>
      <c r="I938" s="339">
        <f t="shared" si="69"/>
        <v>31.400386214629446</v>
      </c>
    </row>
    <row r="939" spans="1:10" ht="15.75" x14ac:dyDescent="0.25">
      <c r="A939" s="340" t="s">
        <v>407</v>
      </c>
      <c r="B939" s="337">
        <v>908</v>
      </c>
      <c r="C939" s="341" t="s">
        <v>250</v>
      </c>
      <c r="D939" s="341" t="s">
        <v>134</v>
      </c>
      <c r="E939" s="341"/>
      <c r="F939" s="341"/>
      <c r="G939" s="339">
        <f>G940</f>
        <v>5584.4</v>
      </c>
      <c r="H939" s="339">
        <f>H940</f>
        <v>2410.5700000000002</v>
      </c>
      <c r="I939" s="339">
        <f t="shared" si="69"/>
        <v>43.166141393882967</v>
      </c>
    </row>
    <row r="940" spans="1:10" ht="15.75" x14ac:dyDescent="0.25">
      <c r="A940" s="340" t="s">
        <v>157</v>
      </c>
      <c r="B940" s="337">
        <v>908</v>
      </c>
      <c r="C940" s="341" t="s">
        <v>250</v>
      </c>
      <c r="D940" s="341" t="s">
        <v>134</v>
      </c>
      <c r="E940" s="341" t="s">
        <v>912</v>
      </c>
      <c r="F940" s="341"/>
      <c r="G940" s="339">
        <f>G941</f>
        <v>5584.4</v>
      </c>
      <c r="H940" s="339">
        <f>H941</f>
        <v>2410.5700000000002</v>
      </c>
      <c r="I940" s="339">
        <f t="shared" si="69"/>
        <v>43.166141393882967</v>
      </c>
    </row>
    <row r="941" spans="1:10" ht="31.5" x14ac:dyDescent="0.25">
      <c r="A941" s="340" t="s">
        <v>916</v>
      </c>
      <c r="B941" s="337">
        <v>908</v>
      </c>
      <c r="C941" s="341" t="s">
        <v>250</v>
      </c>
      <c r="D941" s="341" t="s">
        <v>134</v>
      </c>
      <c r="E941" s="341" t="s">
        <v>911</v>
      </c>
      <c r="F941" s="341"/>
      <c r="G941" s="339">
        <f>G950+G947+G942+G953</f>
        <v>5584.4</v>
      </c>
      <c r="H941" s="339">
        <f>H950+H947+H942+H953</f>
        <v>2410.5700000000002</v>
      </c>
      <c r="I941" s="339">
        <f t="shared" si="69"/>
        <v>43.166141393882967</v>
      </c>
    </row>
    <row r="942" spans="1:10" ht="15.75" x14ac:dyDescent="0.25">
      <c r="A942" s="342" t="s">
        <v>531</v>
      </c>
      <c r="B942" s="336">
        <v>908</v>
      </c>
      <c r="C942" s="338" t="s">
        <v>797</v>
      </c>
      <c r="D942" s="338" t="s">
        <v>134</v>
      </c>
      <c r="E942" s="338" t="s">
        <v>1096</v>
      </c>
      <c r="F942" s="341"/>
      <c r="G942" s="343">
        <f>G945+G943</f>
        <v>274</v>
      </c>
      <c r="H942" s="343">
        <f>H945+H943</f>
        <v>274</v>
      </c>
      <c r="I942" s="343">
        <f t="shared" si="69"/>
        <v>100</v>
      </c>
    </row>
    <row r="943" spans="1:10" s="218" customFormat="1" ht="31.5" x14ac:dyDescent="0.25">
      <c r="A943" s="342" t="s">
        <v>147</v>
      </c>
      <c r="B943" s="336">
        <v>908</v>
      </c>
      <c r="C943" s="338" t="s">
        <v>250</v>
      </c>
      <c r="D943" s="338" t="s">
        <v>134</v>
      </c>
      <c r="E943" s="338" t="s">
        <v>1096</v>
      </c>
      <c r="F943" s="338" t="s">
        <v>148</v>
      </c>
      <c r="G943" s="343">
        <f>G944</f>
        <v>274</v>
      </c>
      <c r="H943" s="343">
        <f>H944</f>
        <v>274</v>
      </c>
      <c r="I943" s="343">
        <f t="shared" si="69"/>
        <v>100</v>
      </c>
      <c r="J943" s="332"/>
    </row>
    <row r="944" spans="1:10" s="218" customFormat="1" ht="31.5" x14ac:dyDescent="0.25">
      <c r="A944" s="342" t="s">
        <v>149</v>
      </c>
      <c r="B944" s="336">
        <v>908</v>
      </c>
      <c r="C944" s="338" t="s">
        <v>250</v>
      </c>
      <c r="D944" s="338" t="s">
        <v>134</v>
      </c>
      <c r="E944" s="338" t="s">
        <v>1096</v>
      </c>
      <c r="F944" s="338" t="s">
        <v>150</v>
      </c>
      <c r="G944" s="343">
        <f>140+134</f>
        <v>274</v>
      </c>
      <c r="H944" s="343">
        <v>274</v>
      </c>
      <c r="I944" s="343">
        <f t="shared" si="69"/>
        <v>100</v>
      </c>
      <c r="J944" s="332"/>
    </row>
    <row r="945" spans="1:10" ht="15.75" hidden="1" x14ac:dyDescent="0.25">
      <c r="A945" s="342" t="s">
        <v>151</v>
      </c>
      <c r="B945" s="336">
        <v>908</v>
      </c>
      <c r="C945" s="338" t="s">
        <v>250</v>
      </c>
      <c r="D945" s="338" t="s">
        <v>134</v>
      </c>
      <c r="E945" s="338" t="s">
        <v>1096</v>
      </c>
      <c r="F945" s="338" t="s">
        <v>161</v>
      </c>
      <c r="G945" s="343">
        <f>G946</f>
        <v>0</v>
      </c>
      <c r="H945" s="343">
        <f>H946</f>
        <v>0</v>
      </c>
      <c r="I945" s="343" t="e">
        <f t="shared" si="69"/>
        <v>#DIV/0!</v>
      </c>
    </row>
    <row r="946" spans="1:10" ht="48.75" hidden="1" customHeight="1" x14ac:dyDescent="0.25">
      <c r="A946" s="342" t="s">
        <v>200</v>
      </c>
      <c r="B946" s="336">
        <v>908</v>
      </c>
      <c r="C946" s="338" t="s">
        <v>250</v>
      </c>
      <c r="D946" s="338" t="s">
        <v>134</v>
      </c>
      <c r="E946" s="338" t="s">
        <v>1096</v>
      </c>
      <c r="F946" s="338" t="s">
        <v>176</v>
      </c>
      <c r="G946" s="343">
        <v>0</v>
      </c>
      <c r="H946" s="343">
        <v>0</v>
      </c>
      <c r="I946" s="343" t="e">
        <f t="shared" si="69"/>
        <v>#DIV/0!</v>
      </c>
    </row>
    <row r="947" spans="1:10" ht="31.5" x14ac:dyDescent="0.25">
      <c r="A947" s="345" t="s">
        <v>414</v>
      </c>
      <c r="B947" s="336">
        <v>908</v>
      </c>
      <c r="C947" s="338" t="s">
        <v>250</v>
      </c>
      <c r="D947" s="338" t="s">
        <v>134</v>
      </c>
      <c r="E947" s="338" t="s">
        <v>1097</v>
      </c>
      <c r="F947" s="341"/>
      <c r="G947" s="343">
        <f>G948</f>
        <v>4020</v>
      </c>
      <c r="H947" s="343">
        <f>H948</f>
        <v>1948.63</v>
      </c>
      <c r="I947" s="343">
        <f t="shared" si="69"/>
        <v>48.473383084577115</v>
      </c>
    </row>
    <row r="948" spans="1:10" ht="31.5" x14ac:dyDescent="0.25">
      <c r="A948" s="342" t="s">
        <v>147</v>
      </c>
      <c r="B948" s="336">
        <v>908</v>
      </c>
      <c r="C948" s="338" t="s">
        <v>250</v>
      </c>
      <c r="D948" s="338" t="s">
        <v>134</v>
      </c>
      <c r="E948" s="338" t="s">
        <v>1097</v>
      </c>
      <c r="F948" s="338" t="s">
        <v>148</v>
      </c>
      <c r="G948" s="343">
        <f>G949</f>
        <v>4020</v>
      </c>
      <c r="H948" s="343">
        <f>H949</f>
        <v>1948.63</v>
      </c>
      <c r="I948" s="343">
        <f t="shared" si="69"/>
        <v>48.473383084577115</v>
      </c>
    </row>
    <row r="949" spans="1:10" ht="33" customHeight="1" x14ac:dyDescent="0.25">
      <c r="A949" s="342" t="s">
        <v>149</v>
      </c>
      <c r="B949" s="336">
        <v>908</v>
      </c>
      <c r="C949" s="338" t="s">
        <v>250</v>
      </c>
      <c r="D949" s="338" t="s">
        <v>134</v>
      </c>
      <c r="E949" s="338" t="s">
        <v>1097</v>
      </c>
      <c r="F949" s="338" t="s">
        <v>150</v>
      </c>
      <c r="G949" s="344">
        <v>4020</v>
      </c>
      <c r="H949" s="344">
        <v>1948.63</v>
      </c>
      <c r="I949" s="343">
        <f t="shared" si="69"/>
        <v>48.473383084577115</v>
      </c>
    </row>
    <row r="950" spans="1:10" ht="31.5" x14ac:dyDescent="0.25">
      <c r="A950" s="345" t="s">
        <v>1005</v>
      </c>
      <c r="B950" s="336">
        <v>908</v>
      </c>
      <c r="C950" s="338" t="s">
        <v>250</v>
      </c>
      <c r="D950" s="338" t="s">
        <v>134</v>
      </c>
      <c r="E950" s="338" t="s">
        <v>1098</v>
      </c>
      <c r="F950" s="341"/>
      <c r="G950" s="343">
        <f>G951</f>
        <v>1140</v>
      </c>
      <c r="H950" s="343">
        <f>H951</f>
        <v>187.94</v>
      </c>
      <c r="I950" s="343">
        <f t="shared" si="69"/>
        <v>16.4859649122807</v>
      </c>
    </row>
    <row r="951" spans="1:10" ht="31.5" x14ac:dyDescent="0.25">
      <c r="A951" s="342" t="s">
        <v>147</v>
      </c>
      <c r="B951" s="336">
        <v>908</v>
      </c>
      <c r="C951" s="338" t="s">
        <v>250</v>
      </c>
      <c r="D951" s="338" t="s">
        <v>134</v>
      </c>
      <c r="E951" s="338" t="s">
        <v>1098</v>
      </c>
      <c r="F951" s="338" t="s">
        <v>148</v>
      </c>
      <c r="G951" s="343">
        <f>G952</f>
        <v>1140</v>
      </c>
      <c r="H951" s="343">
        <f>H952</f>
        <v>187.94</v>
      </c>
      <c r="I951" s="343">
        <f t="shared" si="69"/>
        <v>16.4859649122807</v>
      </c>
    </row>
    <row r="952" spans="1:10" ht="33" customHeight="1" x14ac:dyDescent="0.25">
      <c r="A952" s="342" t="s">
        <v>149</v>
      </c>
      <c r="B952" s="336">
        <v>908</v>
      </c>
      <c r="C952" s="338" t="s">
        <v>250</v>
      </c>
      <c r="D952" s="338" t="s">
        <v>134</v>
      </c>
      <c r="E952" s="338" t="s">
        <v>1098</v>
      </c>
      <c r="F952" s="338" t="s">
        <v>150</v>
      </c>
      <c r="G952" s="343">
        <v>1140</v>
      </c>
      <c r="H952" s="343">
        <v>187.94</v>
      </c>
      <c r="I952" s="343">
        <f t="shared" si="69"/>
        <v>16.4859649122807</v>
      </c>
    </row>
    <row r="953" spans="1:10" s="332" customFormat="1" ht="33" customHeight="1" x14ac:dyDescent="0.25">
      <c r="A953" s="342" t="s">
        <v>1525</v>
      </c>
      <c r="B953" s="336">
        <v>908</v>
      </c>
      <c r="C953" s="338" t="s">
        <v>250</v>
      </c>
      <c r="D953" s="338" t="s">
        <v>134</v>
      </c>
      <c r="E953" s="338" t="s">
        <v>1526</v>
      </c>
      <c r="F953" s="338"/>
      <c r="G953" s="343">
        <f>G954</f>
        <v>150.4</v>
      </c>
      <c r="H953" s="343">
        <f>H954</f>
        <v>0</v>
      </c>
      <c r="I953" s="343">
        <f t="shared" si="69"/>
        <v>0</v>
      </c>
    </row>
    <row r="954" spans="1:10" s="332" customFormat="1" ht="15.75" x14ac:dyDescent="0.25">
      <c r="A954" s="342" t="s">
        <v>151</v>
      </c>
      <c r="B954" s="336">
        <v>908</v>
      </c>
      <c r="C954" s="338" t="s">
        <v>250</v>
      </c>
      <c r="D954" s="338" t="s">
        <v>134</v>
      </c>
      <c r="E954" s="338" t="s">
        <v>1526</v>
      </c>
      <c r="F954" s="338" t="s">
        <v>161</v>
      </c>
      <c r="G954" s="343">
        <f>G955</f>
        <v>150.4</v>
      </c>
      <c r="H954" s="343">
        <f>H955</f>
        <v>0</v>
      </c>
      <c r="I954" s="343">
        <f t="shared" si="69"/>
        <v>0</v>
      </c>
    </row>
    <row r="955" spans="1:10" s="332" customFormat="1" ht="51" customHeight="1" x14ac:dyDescent="0.25">
      <c r="A955" s="342" t="s">
        <v>200</v>
      </c>
      <c r="B955" s="336">
        <v>908</v>
      </c>
      <c r="C955" s="338" t="s">
        <v>250</v>
      </c>
      <c r="D955" s="338" t="s">
        <v>134</v>
      </c>
      <c r="E955" s="338" t="s">
        <v>1526</v>
      </c>
      <c r="F955" s="338" t="s">
        <v>176</v>
      </c>
      <c r="G955" s="343">
        <v>150.4</v>
      </c>
      <c r="H955" s="343">
        <v>0</v>
      </c>
      <c r="I955" s="343">
        <f t="shared" si="69"/>
        <v>0</v>
      </c>
    </row>
    <row r="956" spans="1:10" ht="15.75" x14ac:dyDescent="0.25">
      <c r="A956" s="340" t="s">
        <v>533</v>
      </c>
      <c r="B956" s="337">
        <v>908</v>
      </c>
      <c r="C956" s="341" t="s">
        <v>250</v>
      </c>
      <c r="D956" s="341" t="s">
        <v>229</v>
      </c>
      <c r="E956" s="341"/>
      <c r="F956" s="341"/>
      <c r="G956" s="339">
        <f>G957+G989+G1018</f>
        <v>30089.9</v>
      </c>
      <c r="H956" s="339">
        <f>H957+H989+H1018</f>
        <v>5298.54</v>
      </c>
      <c r="I956" s="339">
        <f t="shared" si="69"/>
        <v>17.609031601966109</v>
      </c>
    </row>
    <row r="957" spans="1:10" s="218" customFormat="1" ht="15.75" x14ac:dyDescent="0.25">
      <c r="A957" s="340" t="s">
        <v>157</v>
      </c>
      <c r="B957" s="337">
        <v>908</v>
      </c>
      <c r="C957" s="341" t="s">
        <v>250</v>
      </c>
      <c r="D957" s="341" t="s">
        <v>229</v>
      </c>
      <c r="E957" s="341" t="s">
        <v>912</v>
      </c>
      <c r="F957" s="341"/>
      <c r="G957" s="339">
        <f>G958+G972</f>
        <v>29960.9</v>
      </c>
      <c r="H957" s="339">
        <f>H958+H972</f>
        <v>5169.54</v>
      </c>
      <c r="I957" s="339">
        <f t="shared" si="69"/>
        <v>17.25428808880908</v>
      </c>
      <c r="J957" s="332"/>
    </row>
    <row r="958" spans="1:10" s="218" customFormat="1" ht="31.5" x14ac:dyDescent="0.25">
      <c r="A958" s="340" t="s">
        <v>916</v>
      </c>
      <c r="B958" s="337">
        <v>908</v>
      </c>
      <c r="C958" s="341" t="s">
        <v>250</v>
      </c>
      <c r="D958" s="341" t="s">
        <v>229</v>
      </c>
      <c r="E958" s="341" t="s">
        <v>911</v>
      </c>
      <c r="F958" s="341"/>
      <c r="G958" s="339">
        <f>G959+G967</f>
        <v>7760.9</v>
      </c>
      <c r="H958" s="339">
        <f>H959+H967</f>
        <v>5169.54</v>
      </c>
      <c r="I958" s="339">
        <f t="shared" si="69"/>
        <v>66.610058111816926</v>
      </c>
      <c r="J958" s="332"/>
    </row>
    <row r="959" spans="1:10" s="218" customFormat="1" ht="15.75" x14ac:dyDescent="0.25">
      <c r="A959" s="35" t="s">
        <v>553</v>
      </c>
      <c r="B959" s="336">
        <v>908</v>
      </c>
      <c r="C959" s="338" t="s">
        <v>250</v>
      </c>
      <c r="D959" s="338" t="s">
        <v>229</v>
      </c>
      <c r="E959" s="338" t="s">
        <v>1115</v>
      </c>
      <c r="F959" s="338"/>
      <c r="G959" s="343">
        <f>G960+G964+G962</f>
        <v>1399.3999999999999</v>
      </c>
      <c r="H959" s="343">
        <f>H960+H964+H962</f>
        <v>1279.2</v>
      </c>
      <c r="I959" s="343">
        <f t="shared" si="69"/>
        <v>91.410604544804926</v>
      </c>
      <c r="J959" s="332"/>
    </row>
    <row r="960" spans="1:10" s="218" customFormat="1" ht="31.5" x14ac:dyDescent="0.25">
      <c r="A960" s="342" t="s">
        <v>147</v>
      </c>
      <c r="B960" s="336">
        <v>908</v>
      </c>
      <c r="C960" s="338" t="s">
        <v>250</v>
      </c>
      <c r="D960" s="338" t="s">
        <v>229</v>
      </c>
      <c r="E960" s="338" t="s">
        <v>1115</v>
      </c>
      <c r="F960" s="338" t="s">
        <v>148</v>
      </c>
      <c r="G960" s="343">
        <f>G961</f>
        <v>120</v>
      </c>
      <c r="H960" s="343">
        <f>H961</f>
        <v>0</v>
      </c>
      <c r="I960" s="343">
        <f t="shared" si="69"/>
        <v>0</v>
      </c>
      <c r="J960" s="332"/>
    </row>
    <row r="961" spans="1:10" s="218" customFormat="1" ht="31.5" x14ac:dyDescent="0.25">
      <c r="A961" s="342" t="s">
        <v>149</v>
      </c>
      <c r="B961" s="336">
        <v>908</v>
      </c>
      <c r="C961" s="338" t="s">
        <v>250</v>
      </c>
      <c r="D961" s="338" t="s">
        <v>229</v>
      </c>
      <c r="E961" s="338" t="s">
        <v>1115</v>
      </c>
      <c r="F961" s="338" t="s">
        <v>150</v>
      </c>
      <c r="G961" s="222">
        <f>1271.6-1271.6+120</f>
        <v>120</v>
      </c>
      <c r="H961" s="222">
        <v>0</v>
      </c>
      <c r="I961" s="343">
        <f t="shared" si="69"/>
        <v>0</v>
      </c>
      <c r="J961" s="332"/>
    </row>
    <row r="962" spans="1:10" s="218" customFormat="1" ht="31.5" x14ac:dyDescent="0.25">
      <c r="A962" s="342" t="s">
        <v>884</v>
      </c>
      <c r="B962" s="336">
        <v>908</v>
      </c>
      <c r="C962" s="338" t="s">
        <v>250</v>
      </c>
      <c r="D962" s="338" t="s">
        <v>229</v>
      </c>
      <c r="E962" s="338" t="s">
        <v>1115</v>
      </c>
      <c r="F962" s="338" t="s">
        <v>883</v>
      </c>
      <c r="G962" s="222">
        <f>G963</f>
        <v>1271.5999999999999</v>
      </c>
      <c r="H962" s="222">
        <f>H963</f>
        <v>1271.5</v>
      </c>
      <c r="I962" s="343">
        <f t="shared" si="69"/>
        <v>99.992135891789886</v>
      </c>
      <c r="J962" s="332"/>
    </row>
    <row r="963" spans="1:10" s="218" customFormat="1" ht="47.25" x14ac:dyDescent="0.25">
      <c r="A963" s="342" t="s">
        <v>1224</v>
      </c>
      <c r="B963" s="336">
        <v>908</v>
      </c>
      <c r="C963" s="338" t="s">
        <v>250</v>
      </c>
      <c r="D963" s="338" t="s">
        <v>229</v>
      </c>
      <c r="E963" s="338" t="s">
        <v>1115</v>
      </c>
      <c r="F963" s="338" t="s">
        <v>1246</v>
      </c>
      <c r="G963" s="222">
        <v>1271.5999999999999</v>
      </c>
      <c r="H963" s="222">
        <v>1271.5</v>
      </c>
      <c r="I963" s="343">
        <f t="shared" si="69"/>
        <v>99.992135891789886</v>
      </c>
      <c r="J963" s="332"/>
    </row>
    <row r="964" spans="1:10" s="218" customFormat="1" ht="15.75" x14ac:dyDescent="0.25">
      <c r="A964" s="342" t="s">
        <v>151</v>
      </c>
      <c r="B964" s="336">
        <v>908</v>
      </c>
      <c r="C964" s="338" t="s">
        <v>250</v>
      </c>
      <c r="D964" s="338" t="s">
        <v>229</v>
      </c>
      <c r="E964" s="338" t="s">
        <v>1115</v>
      </c>
      <c r="F964" s="338" t="s">
        <v>161</v>
      </c>
      <c r="G964" s="222">
        <f>G965+G966</f>
        <v>7.8</v>
      </c>
      <c r="H964" s="222">
        <f>H965+H966</f>
        <v>7.7</v>
      </c>
      <c r="I964" s="343">
        <f t="shared" si="69"/>
        <v>98.71794871794873</v>
      </c>
      <c r="J964" s="332"/>
    </row>
    <row r="965" spans="1:10" s="218" customFormat="1" ht="47.25" hidden="1" x14ac:dyDescent="0.25">
      <c r="A965" s="342" t="s">
        <v>200</v>
      </c>
      <c r="B965" s="336">
        <v>908</v>
      </c>
      <c r="C965" s="338" t="s">
        <v>250</v>
      </c>
      <c r="D965" s="338" t="s">
        <v>229</v>
      </c>
      <c r="E965" s="338" t="s">
        <v>1115</v>
      </c>
      <c r="F965" s="338" t="s">
        <v>176</v>
      </c>
      <c r="G965" s="222">
        <v>0</v>
      </c>
      <c r="H965" s="222">
        <v>0</v>
      </c>
      <c r="I965" s="343" t="e">
        <f t="shared" si="69"/>
        <v>#DIV/0!</v>
      </c>
      <c r="J965" s="332"/>
    </row>
    <row r="966" spans="1:10" s="218" customFormat="1" ht="15.75" x14ac:dyDescent="0.25">
      <c r="A966" s="342" t="s">
        <v>162</v>
      </c>
      <c r="B966" s="336">
        <v>908</v>
      </c>
      <c r="C966" s="338" t="s">
        <v>250</v>
      </c>
      <c r="D966" s="338" t="s">
        <v>229</v>
      </c>
      <c r="E966" s="338" t="s">
        <v>1115</v>
      </c>
      <c r="F966" s="338" t="s">
        <v>163</v>
      </c>
      <c r="G966" s="222">
        <v>7.8</v>
      </c>
      <c r="H966" s="222">
        <v>7.7</v>
      </c>
      <c r="I966" s="343">
        <f t="shared" si="69"/>
        <v>98.71794871794873</v>
      </c>
      <c r="J966" s="332"/>
    </row>
    <row r="967" spans="1:10" s="218" customFormat="1" ht="31.5" x14ac:dyDescent="0.25">
      <c r="A967" s="345" t="s">
        <v>1005</v>
      </c>
      <c r="B967" s="336">
        <v>908</v>
      </c>
      <c r="C967" s="338" t="s">
        <v>250</v>
      </c>
      <c r="D967" s="338" t="s">
        <v>229</v>
      </c>
      <c r="E967" s="338" t="s">
        <v>1098</v>
      </c>
      <c r="F967" s="338"/>
      <c r="G967" s="343">
        <f>G970+G968</f>
        <v>6361.5</v>
      </c>
      <c r="H967" s="343">
        <f>H970+H968</f>
        <v>3890.34</v>
      </c>
      <c r="I967" s="343">
        <f t="shared" si="69"/>
        <v>61.154444706437161</v>
      </c>
      <c r="J967" s="332"/>
    </row>
    <row r="968" spans="1:10" s="218" customFormat="1" ht="31.5" x14ac:dyDescent="0.25">
      <c r="A968" s="342" t="s">
        <v>147</v>
      </c>
      <c r="B968" s="336">
        <v>908</v>
      </c>
      <c r="C968" s="338" t="s">
        <v>250</v>
      </c>
      <c r="D968" s="338" t="s">
        <v>229</v>
      </c>
      <c r="E968" s="338" t="s">
        <v>1098</v>
      </c>
      <c r="F968" s="338" t="s">
        <v>148</v>
      </c>
      <c r="G968" s="343">
        <f>G969</f>
        <v>6361.5</v>
      </c>
      <c r="H968" s="343">
        <f>H969</f>
        <v>3890.34</v>
      </c>
      <c r="I968" s="343">
        <f t="shared" si="69"/>
        <v>61.154444706437161</v>
      </c>
      <c r="J968" s="332"/>
    </row>
    <row r="969" spans="1:10" s="218" customFormat="1" ht="31.5" x14ac:dyDescent="0.25">
      <c r="A969" s="342" t="s">
        <v>149</v>
      </c>
      <c r="B969" s="336">
        <v>908</v>
      </c>
      <c r="C969" s="338" t="s">
        <v>250</v>
      </c>
      <c r="D969" s="338" t="s">
        <v>229</v>
      </c>
      <c r="E969" s="338" t="s">
        <v>1098</v>
      </c>
      <c r="F969" s="338" t="s">
        <v>150</v>
      </c>
      <c r="G969" s="343">
        <f>5000+700+661.5</f>
        <v>6361.5</v>
      </c>
      <c r="H969" s="343">
        <v>3890.34</v>
      </c>
      <c r="I969" s="343">
        <f t="shared" si="69"/>
        <v>61.154444706437161</v>
      </c>
      <c r="J969" s="332"/>
    </row>
    <row r="970" spans="1:10" s="218" customFormat="1" ht="15.75" hidden="1" x14ac:dyDescent="0.25">
      <c r="A970" s="342" t="s">
        <v>151</v>
      </c>
      <c r="B970" s="336">
        <v>908</v>
      </c>
      <c r="C970" s="338" t="s">
        <v>250</v>
      </c>
      <c r="D970" s="338" t="s">
        <v>229</v>
      </c>
      <c r="E970" s="338" t="s">
        <v>1098</v>
      </c>
      <c r="F970" s="338" t="s">
        <v>161</v>
      </c>
      <c r="G970" s="343">
        <f>G971</f>
        <v>0</v>
      </c>
      <c r="H970" s="343">
        <f>H971</f>
        <v>0</v>
      </c>
      <c r="I970" s="343" t="e">
        <f t="shared" si="69"/>
        <v>#DIV/0!</v>
      </c>
      <c r="J970" s="332"/>
    </row>
    <row r="971" spans="1:10" ht="15.75" hidden="1" x14ac:dyDescent="0.25">
      <c r="A971" s="342" t="s">
        <v>162</v>
      </c>
      <c r="B971" s="336">
        <v>908</v>
      </c>
      <c r="C971" s="338" t="s">
        <v>250</v>
      </c>
      <c r="D971" s="338" t="s">
        <v>229</v>
      </c>
      <c r="E971" s="338" t="s">
        <v>1098</v>
      </c>
      <c r="F971" s="338" t="s">
        <v>163</v>
      </c>
      <c r="G971" s="343">
        <v>0</v>
      </c>
      <c r="H971" s="343">
        <v>0</v>
      </c>
      <c r="I971" s="343" t="e">
        <f t="shared" ref="I971:I1034" si="73">H971/G971*100</f>
        <v>#DIV/0!</v>
      </c>
    </row>
    <row r="972" spans="1:10" s="218" customFormat="1" ht="48.75" customHeight="1" x14ac:dyDescent="0.25">
      <c r="A972" s="340" t="s">
        <v>1171</v>
      </c>
      <c r="B972" s="337">
        <v>908</v>
      </c>
      <c r="C972" s="341" t="s">
        <v>250</v>
      </c>
      <c r="D972" s="341" t="s">
        <v>229</v>
      </c>
      <c r="E972" s="341" t="s">
        <v>1116</v>
      </c>
      <c r="F972" s="341"/>
      <c r="G972" s="339">
        <f>G973+G981+G978+G986</f>
        <v>22200</v>
      </c>
      <c r="H972" s="339">
        <f>H973+H981+H978+H986</f>
        <v>0</v>
      </c>
      <c r="I972" s="339">
        <f t="shared" si="73"/>
        <v>0</v>
      </c>
      <c r="J972" s="332"/>
    </row>
    <row r="973" spans="1:10" s="218" customFormat="1" ht="35.450000000000003" customHeight="1" x14ac:dyDescent="0.25">
      <c r="A973" s="342" t="s">
        <v>873</v>
      </c>
      <c r="B973" s="336">
        <v>908</v>
      </c>
      <c r="C973" s="338" t="s">
        <v>250</v>
      </c>
      <c r="D973" s="338" t="s">
        <v>229</v>
      </c>
      <c r="E973" s="338" t="s">
        <v>1117</v>
      </c>
      <c r="F973" s="338"/>
      <c r="G973" s="343">
        <f>G974+G976</f>
        <v>22200</v>
      </c>
      <c r="H973" s="343">
        <f>H974+H976</f>
        <v>0</v>
      </c>
      <c r="I973" s="343">
        <f t="shared" si="73"/>
        <v>0</v>
      </c>
      <c r="J973" s="332"/>
    </row>
    <row r="974" spans="1:10" s="218" customFormat="1" ht="34.5" customHeight="1" x14ac:dyDescent="0.25">
      <c r="A974" s="342" t="s">
        <v>147</v>
      </c>
      <c r="B974" s="336">
        <v>908</v>
      </c>
      <c r="C974" s="338" t="s">
        <v>250</v>
      </c>
      <c r="D974" s="338" t="s">
        <v>229</v>
      </c>
      <c r="E974" s="338" t="s">
        <v>1117</v>
      </c>
      <c r="F974" s="338" t="s">
        <v>148</v>
      </c>
      <c r="G974" s="343">
        <f>G975</f>
        <v>22200</v>
      </c>
      <c r="H974" s="343">
        <f>H975</f>
        <v>0</v>
      </c>
      <c r="I974" s="343">
        <f t="shared" si="73"/>
        <v>0</v>
      </c>
      <c r="J974" s="332"/>
    </row>
    <row r="975" spans="1:10" s="218" customFormat="1" ht="33" customHeight="1" x14ac:dyDescent="0.25">
      <c r="A975" s="342" t="s">
        <v>149</v>
      </c>
      <c r="B975" s="336">
        <v>908</v>
      </c>
      <c r="C975" s="338" t="s">
        <v>250</v>
      </c>
      <c r="D975" s="338" t="s">
        <v>229</v>
      </c>
      <c r="E975" s="338" t="s">
        <v>1117</v>
      </c>
      <c r="F975" s="338" t="s">
        <v>150</v>
      </c>
      <c r="G975" s="343">
        <v>22200</v>
      </c>
      <c r="H975" s="343">
        <v>0</v>
      </c>
      <c r="I975" s="343">
        <f t="shared" si="73"/>
        <v>0</v>
      </c>
      <c r="J975" s="332"/>
    </row>
    <row r="976" spans="1:10" s="218" customFormat="1" ht="20.25" hidden="1" customHeight="1" x14ac:dyDescent="0.25">
      <c r="A976" s="342" t="s">
        <v>151</v>
      </c>
      <c r="B976" s="336">
        <v>908</v>
      </c>
      <c r="C976" s="338" t="s">
        <v>250</v>
      </c>
      <c r="D976" s="338" t="s">
        <v>229</v>
      </c>
      <c r="E976" s="338" t="s">
        <v>1117</v>
      </c>
      <c r="F976" s="338" t="s">
        <v>883</v>
      </c>
      <c r="G976" s="343">
        <f>G977</f>
        <v>0</v>
      </c>
      <c r="H976" s="343">
        <f>H977</f>
        <v>0</v>
      </c>
      <c r="I976" s="343" t="e">
        <f t="shared" si="73"/>
        <v>#DIV/0!</v>
      </c>
      <c r="J976" s="332"/>
    </row>
    <row r="977" spans="1:10" s="218" customFormat="1" ht="20.25" hidden="1" customHeight="1" x14ac:dyDescent="0.25">
      <c r="A977" s="342" t="s">
        <v>584</v>
      </c>
      <c r="B977" s="336">
        <v>908</v>
      </c>
      <c r="C977" s="338" t="s">
        <v>250</v>
      </c>
      <c r="D977" s="338" t="s">
        <v>229</v>
      </c>
      <c r="E977" s="338" t="s">
        <v>1117</v>
      </c>
      <c r="F977" s="338" t="s">
        <v>1246</v>
      </c>
      <c r="G977" s="343">
        <v>0</v>
      </c>
      <c r="H977" s="343">
        <v>0</v>
      </c>
      <c r="I977" s="343" t="e">
        <f t="shared" si="73"/>
        <v>#DIV/0!</v>
      </c>
      <c r="J977" s="332"/>
    </row>
    <row r="978" spans="1:10" s="218" customFormat="1" ht="47.25" hidden="1" customHeight="1" x14ac:dyDescent="0.25">
      <c r="A978" s="342" t="s">
        <v>824</v>
      </c>
      <c r="B978" s="336">
        <v>908</v>
      </c>
      <c r="C978" s="338" t="s">
        <v>250</v>
      </c>
      <c r="D978" s="338" t="s">
        <v>229</v>
      </c>
      <c r="E978" s="338" t="s">
        <v>1118</v>
      </c>
      <c r="F978" s="338"/>
      <c r="G978" s="343">
        <f>G979</f>
        <v>0</v>
      </c>
      <c r="H978" s="343">
        <f>H979</f>
        <v>0</v>
      </c>
      <c r="I978" s="343" t="e">
        <f t="shared" si="73"/>
        <v>#DIV/0!</v>
      </c>
      <c r="J978" s="332"/>
    </row>
    <row r="979" spans="1:10" s="218" customFormat="1" ht="33.75" hidden="1" customHeight="1" x14ac:dyDescent="0.25">
      <c r="A979" s="342" t="s">
        <v>147</v>
      </c>
      <c r="B979" s="336">
        <v>908</v>
      </c>
      <c r="C979" s="338" t="s">
        <v>250</v>
      </c>
      <c r="D979" s="338" t="s">
        <v>229</v>
      </c>
      <c r="E979" s="338" t="s">
        <v>1118</v>
      </c>
      <c r="F979" s="338" t="s">
        <v>148</v>
      </c>
      <c r="G979" s="343">
        <f>G980</f>
        <v>0</v>
      </c>
      <c r="H979" s="343">
        <f>H980</f>
        <v>0</v>
      </c>
      <c r="I979" s="343" t="e">
        <f t="shared" si="73"/>
        <v>#DIV/0!</v>
      </c>
      <c r="J979" s="332"/>
    </row>
    <row r="980" spans="1:10" s="218" customFormat="1" ht="32.25" hidden="1" customHeight="1" x14ac:dyDescent="0.25">
      <c r="A980" s="342" t="s">
        <v>149</v>
      </c>
      <c r="B980" s="336">
        <v>908</v>
      </c>
      <c r="C980" s="338" t="s">
        <v>250</v>
      </c>
      <c r="D980" s="338" t="s">
        <v>229</v>
      </c>
      <c r="E980" s="338" t="s">
        <v>1118</v>
      </c>
      <c r="F980" s="338" t="s">
        <v>150</v>
      </c>
      <c r="G980" s="343">
        <v>0</v>
      </c>
      <c r="H980" s="343">
        <v>0</v>
      </c>
      <c r="I980" s="343" t="e">
        <f t="shared" si="73"/>
        <v>#DIV/0!</v>
      </c>
      <c r="J980" s="332"/>
    </row>
    <row r="981" spans="1:10" s="218" customFormat="1" ht="47.25" hidden="1" customHeight="1" x14ac:dyDescent="0.25">
      <c r="A981" s="98" t="s">
        <v>879</v>
      </c>
      <c r="B981" s="336">
        <v>908</v>
      </c>
      <c r="C981" s="338" t="s">
        <v>250</v>
      </c>
      <c r="D981" s="338" t="s">
        <v>229</v>
      </c>
      <c r="E981" s="338" t="s">
        <v>1119</v>
      </c>
      <c r="F981" s="338"/>
      <c r="G981" s="343">
        <f>G982+G984</f>
        <v>0</v>
      </c>
      <c r="H981" s="343">
        <f>H982+H984</f>
        <v>0</v>
      </c>
      <c r="I981" s="343" t="e">
        <f t="shared" si="73"/>
        <v>#DIV/0!</v>
      </c>
      <c r="J981" s="332"/>
    </row>
    <row r="982" spans="1:10" s="218" customFormat="1" ht="34.5" hidden="1" customHeight="1" x14ac:dyDescent="0.25">
      <c r="A982" s="342" t="s">
        <v>884</v>
      </c>
      <c r="B982" s="336">
        <v>908</v>
      </c>
      <c r="C982" s="338" t="s">
        <v>250</v>
      </c>
      <c r="D982" s="338" t="s">
        <v>229</v>
      </c>
      <c r="E982" s="338" t="s">
        <v>1119</v>
      </c>
      <c r="F982" s="338" t="s">
        <v>883</v>
      </c>
      <c r="G982" s="343">
        <f>G983</f>
        <v>0</v>
      </c>
      <c r="H982" s="343">
        <f>H983</f>
        <v>0</v>
      </c>
      <c r="I982" s="343" t="e">
        <f t="shared" si="73"/>
        <v>#DIV/0!</v>
      </c>
      <c r="J982" s="332"/>
    </row>
    <row r="983" spans="1:10" s="218" customFormat="1" ht="47.25" hidden="1" customHeight="1" x14ac:dyDescent="0.25">
      <c r="A983" s="342" t="s">
        <v>1224</v>
      </c>
      <c r="B983" s="336">
        <v>908</v>
      </c>
      <c r="C983" s="338" t="s">
        <v>250</v>
      </c>
      <c r="D983" s="338" t="s">
        <v>229</v>
      </c>
      <c r="E983" s="338" t="s">
        <v>1119</v>
      </c>
      <c r="F983" s="338" t="s">
        <v>1246</v>
      </c>
      <c r="G983" s="343">
        <v>0</v>
      </c>
      <c r="H983" s="343">
        <v>0</v>
      </c>
      <c r="I983" s="343" t="e">
        <f t="shared" si="73"/>
        <v>#DIV/0!</v>
      </c>
      <c r="J983" s="332"/>
    </row>
    <row r="984" spans="1:10" s="218" customFormat="1" ht="17.45" hidden="1" customHeight="1" x14ac:dyDescent="0.25">
      <c r="A984" s="342" t="s">
        <v>151</v>
      </c>
      <c r="B984" s="336">
        <v>908</v>
      </c>
      <c r="C984" s="338" t="s">
        <v>250</v>
      </c>
      <c r="D984" s="338" t="s">
        <v>229</v>
      </c>
      <c r="E984" s="338" t="s">
        <v>1119</v>
      </c>
      <c r="F984" s="338" t="s">
        <v>161</v>
      </c>
      <c r="G984" s="343">
        <f>G985</f>
        <v>0</v>
      </c>
      <c r="H984" s="343">
        <f>H985</f>
        <v>0</v>
      </c>
      <c r="I984" s="343" t="e">
        <f t="shared" si="73"/>
        <v>#DIV/0!</v>
      </c>
      <c r="J984" s="332"/>
    </row>
    <row r="985" spans="1:10" s="218" customFormat="1" ht="18.75" hidden="1" customHeight="1" x14ac:dyDescent="0.25">
      <c r="A985" s="342" t="s">
        <v>727</v>
      </c>
      <c r="B985" s="336">
        <v>908</v>
      </c>
      <c r="C985" s="338" t="s">
        <v>250</v>
      </c>
      <c r="D985" s="338" t="s">
        <v>229</v>
      </c>
      <c r="E985" s="338" t="s">
        <v>1119</v>
      </c>
      <c r="F985" s="338" t="s">
        <v>154</v>
      </c>
      <c r="G985" s="343">
        <v>0</v>
      </c>
      <c r="H985" s="343">
        <v>0</v>
      </c>
      <c r="I985" s="343" t="e">
        <f t="shared" si="73"/>
        <v>#DIV/0!</v>
      </c>
      <c r="J985" s="332"/>
    </row>
    <row r="986" spans="1:10" s="218" customFormat="1" ht="38.25" hidden="1" customHeight="1" x14ac:dyDescent="0.25">
      <c r="A986" s="342" t="s">
        <v>1247</v>
      </c>
      <c r="B986" s="336">
        <v>908</v>
      </c>
      <c r="C986" s="338" t="s">
        <v>250</v>
      </c>
      <c r="D986" s="338" t="s">
        <v>229</v>
      </c>
      <c r="E986" s="338" t="s">
        <v>1248</v>
      </c>
      <c r="F986" s="338"/>
      <c r="G986" s="343">
        <f>G987</f>
        <v>0</v>
      </c>
      <c r="H986" s="343">
        <f>H987</f>
        <v>0</v>
      </c>
      <c r="I986" s="343" t="e">
        <f t="shared" si="73"/>
        <v>#DIV/0!</v>
      </c>
      <c r="J986" s="332"/>
    </row>
    <row r="987" spans="1:10" s="218" customFormat="1" ht="32.25" hidden="1" customHeight="1" x14ac:dyDescent="0.25">
      <c r="A987" s="342" t="s">
        <v>147</v>
      </c>
      <c r="B987" s="336">
        <v>908</v>
      </c>
      <c r="C987" s="338" t="s">
        <v>250</v>
      </c>
      <c r="D987" s="338" t="s">
        <v>229</v>
      </c>
      <c r="E987" s="338" t="s">
        <v>1248</v>
      </c>
      <c r="F987" s="338" t="s">
        <v>148</v>
      </c>
      <c r="G987" s="343">
        <f>G988</f>
        <v>0</v>
      </c>
      <c r="H987" s="343">
        <f>H988</f>
        <v>0</v>
      </c>
      <c r="I987" s="343" t="e">
        <f t="shared" si="73"/>
        <v>#DIV/0!</v>
      </c>
      <c r="J987" s="332"/>
    </row>
    <row r="988" spans="1:10" s="218" customFormat="1" ht="35.450000000000003" hidden="1" customHeight="1" x14ac:dyDescent="0.25">
      <c r="A988" s="342" t="s">
        <v>149</v>
      </c>
      <c r="B988" s="336">
        <v>908</v>
      </c>
      <c r="C988" s="338" t="s">
        <v>250</v>
      </c>
      <c r="D988" s="338" t="s">
        <v>229</v>
      </c>
      <c r="E988" s="338" t="s">
        <v>1248</v>
      </c>
      <c r="F988" s="338" t="s">
        <v>150</v>
      </c>
      <c r="G988" s="343">
        <v>0</v>
      </c>
      <c r="H988" s="343">
        <v>0</v>
      </c>
      <c r="I988" s="343" t="e">
        <f t="shared" si="73"/>
        <v>#DIV/0!</v>
      </c>
      <c r="J988" s="332"/>
    </row>
    <row r="989" spans="1:10" s="218" customFormat="1" ht="47.25" customHeight="1" x14ac:dyDescent="0.25">
      <c r="A989" s="340" t="s">
        <v>1356</v>
      </c>
      <c r="B989" s="337">
        <v>908</v>
      </c>
      <c r="C989" s="341" t="s">
        <v>250</v>
      </c>
      <c r="D989" s="341" t="s">
        <v>229</v>
      </c>
      <c r="E989" s="341" t="s">
        <v>534</v>
      </c>
      <c r="F989" s="341"/>
      <c r="G989" s="339">
        <f>G990+G994+G998+G1002+G1014+G1010</f>
        <v>129</v>
      </c>
      <c r="H989" s="339">
        <f>H990+H994+H998+H1002+H1014+H1010</f>
        <v>129</v>
      </c>
      <c r="I989" s="339">
        <f t="shared" si="73"/>
        <v>100</v>
      </c>
      <c r="J989" s="332"/>
    </row>
    <row r="990" spans="1:10" s="218" customFormat="1" ht="30.75" hidden="1" customHeight="1" x14ac:dyDescent="0.25">
      <c r="A990" s="340" t="s">
        <v>1099</v>
      </c>
      <c r="B990" s="337">
        <v>908</v>
      </c>
      <c r="C990" s="341" t="s">
        <v>250</v>
      </c>
      <c r="D990" s="341" t="s">
        <v>229</v>
      </c>
      <c r="E990" s="341" t="s">
        <v>1101</v>
      </c>
      <c r="F990" s="341"/>
      <c r="G990" s="339">
        <f t="shared" ref="G990:H992" si="74">G991</f>
        <v>0</v>
      </c>
      <c r="H990" s="339">
        <f t="shared" si="74"/>
        <v>0</v>
      </c>
      <c r="I990" s="343" t="e">
        <f t="shared" si="73"/>
        <v>#DIV/0!</v>
      </c>
      <c r="J990" s="332"/>
    </row>
    <row r="991" spans="1:10" ht="15.75" hidden="1" x14ac:dyDescent="0.25">
      <c r="A991" s="45" t="s">
        <v>1100</v>
      </c>
      <c r="B991" s="336">
        <v>908</v>
      </c>
      <c r="C991" s="346" t="s">
        <v>250</v>
      </c>
      <c r="D991" s="346" t="s">
        <v>229</v>
      </c>
      <c r="E991" s="338" t="s">
        <v>1102</v>
      </c>
      <c r="F991" s="346"/>
      <c r="G991" s="343">
        <f t="shared" si="74"/>
        <v>0</v>
      </c>
      <c r="H991" s="343">
        <f t="shared" si="74"/>
        <v>0</v>
      </c>
      <c r="I991" s="343" t="e">
        <f t="shared" si="73"/>
        <v>#DIV/0!</v>
      </c>
    </row>
    <row r="992" spans="1:10" ht="31.5" hidden="1" x14ac:dyDescent="0.25">
      <c r="A992" s="31" t="s">
        <v>147</v>
      </c>
      <c r="B992" s="336">
        <v>908</v>
      </c>
      <c r="C992" s="346" t="s">
        <v>250</v>
      </c>
      <c r="D992" s="346" t="s">
        <v>229</v>
      </c>
      <c r="E992" s="338" t="s">
        <v>1102</v>
      </c>
      <c r="F992" s="346" t="s">
        <v>148</v>
      </c>
      <c r="G992" s="343">
        <f t="shared" si="74"/>
        <v>0</v>
      </c>
      <c r="H992" s="343">
        <f t="shared" si="74"/>
        <v>0</v>
      </c>
      <c r="I992" s="343" t="e">
        <f t="shared" si="73"/>
        <v>#DIV/0!</v>
      </c>
    </row>
    <row r="993" spans="1:10" ht="31.5" hidden="1" x14ac:dyDescent="0.25">
      <c r="A993" s="31" t="s">
        <v>149</v>
      </c>
      <c r="B993" s="336">
        <v>908</v>
      </c>
      <c r="C993" s="346" t="s">
        <v>250</v>
      </c>
      <c r="D993" s="346" t="s">
        <v>229</v>
      </c>
      <c r="E993" s="338" t="s">
        <v>1102</v>
      </c>
      <c r="F993" s="346" t="s">
        <v>150</v>
      </c>
      <c r="G993" s="343">
        <v>0</v>
      </c>
      <c r="H993" s="343">
        <v>0</v>
      </c>
      <c r="I993" s="343" t="e">
        <f t="shared" si="73"/>
        <v>#DIV/0!</v>
      </c>
    </row>
    <row r="994" spans="1:10" s="218" customFormat="1" ht="15.75" x14ac:dyDescent="0.25">
      <c r="A994" s="34" t="s">
        <v>1103</v>
      </c>
      <c r="B994" s="337">
        <v>908</v>
      </c>
      <c r="C994" s="334" t="s">
        <v>250</v>
      </c>
      <c r="D994" s="334" t="s">
        <v>229</v>
      </c>
      <c r="E994" s="341" t="s">
        <v>1104</v>
      </c>
      <c r="F994" s="334"/>
      <c r="G994" s="339">
        <f t="shared" ref="G994:H996" si="75">G995</f>
        <v>85</v>
      </c>
      <c r="H994" s="339">
        <f t="shared" si="75"/>
        <v>85</v>
      </c>
      <c r="I994" s="339">
        <f t="shared" si="73"/>
        <v>100</v>
      </c>
      <c r="J994" s="332"/>
    </row>
    <row r="995" spans="1:10" ht="15.75" x14ac:dyDescent="0.25">
      <c r="A995" s="45" t="s">
        <v>539</v>
      </c>
      <c r="B995" s="336">
        <v>908</v>
      </c>
      <c r="C995" s="346" t="s">
        <v>250</v>
      </c>
      <c r="D995" s="346" t="s">
        <v>229</v>
      </c>
      <c r="E995" s="338" t="s">
        <v>1107</v>
      </c>
      <c r="F995" s="346"/>
      <c r="G995" s="343">
        <f t="shared" si="75"/>
        <v>85</v>
      </c>
      <c r="H995" s="343">
        <f t="shared" si="75"/>
        <v>85</v>
      </c>
      <c r="I995" s="343">
        <f t="shared" si="73"/>
        <v>100</v>
      </c>
    </row>
    <row r="996" spans="1:10" ht="31.5" x14ac:dyDescent="0.25">
      <c r="A996" s="31" t="s">
        <v>147</v>
      </c>
      <c r="B996" s="336">
        <v>908</v>
      </c>
      <c r="C996" s="346" t="s">
        <v>250</v>
      </c>
      <c r="D996" s="346" t="s">
        <v>229</v>
      </c>
      <c r="E996" s="338" t="s">
        <v>1107</v>
      </c>
      <c r="F996" s="346" t="s">
        <v>148</v>
      </c>
      <c r="G996" s="343">
        <f t="shared" si="75"/>
        <v>85</v>
      </c>
      <c r="H996" s="343">
        <f t="shared" si="75"/>
        <v>85</v>
      </c>
      <c r="I996" s="343">
        <f t="shared" si="73"/>
        <v>100</v>
      </c>
    </row>
    <row r="997" spans="1:10" ht="31.5" x14ac:dyDescent="0.25">
      <c r="A997" s="31" t="s">
        <v>149</v>
      </c>
      <c r="B997" s="336">
        <v>908</v>
      </c>
      <c r="C997" s="346" t="s">
        <v>250</v>
      </c>
      <c r="D997" s="346" t="s">
        <v>229</v>
      </c>
      <c r="E997" s="338" t="s">
        <v>1107</v>
      </c>
      <c r="F997" s="346" t="s">
        <v>150</v>
      </c>
      <c r="G997" s="6">
        <v>85</v>
      </c>
      <c r="H997" s="6">
        <v>85</v>
      </c>
      <c r="I997" s="343">
        <f t="shared" si="73"/>
        <v>100</v>
      </c>
    </row>
    <row r="998" spans="1:10" s="218" customFormat="1" ht="16.5" hidden="1" customHeight="1" x14ac:dyDescent="0.25">
      <c r="A998" s="58" t="s">
        <v>1105</v>
      </c>
      <c r="B998" s="337">
        <v>908</v>
      </c>
      <c r="C998" s="334" t="s">
        <v>250</v>
      </c>
      <c r="D998" s="334" t="s">
        <v>229</v>
      </c>
      <c r="E998" s="341" t="s">
        <v>1106</v>
      </c>
      <c r="F998" s="334"/>
      <c r="G998" s="4">
        <f t="shared" ref="G998:H1000" si="76">G999</f>
        <v>0</v>
      </c>
      <c r="H998" s="4">
        <f t="shared" si="76"/>
        <v>0</v>
      </c>
      <c r="I998" s="343" t="e">
        <f t="shared" si="73"/>
        <v>#DIV/0!</v>
      </c>
      <c r="J998" s="332"/>
    </row>
    <row r="999" spans="1:10" ht="15.75" hidden="1" x14ac:dyDescent="0.25">
      <c r="A999" s="45" t="s">
        <v>541</v>
      </c>
      <c r="B999" s="336">
        <v>908</v>
      </c>
      <c r="C999" s="346" t="s">
        <v>250</v>
      </c>
      <c r="D999" s="346" t="s">
        <v>229</v>
      </c>
      <c r="E999" s="338" t="s">
        <v>1108</v>
      </c>
      <c r="F999" s="346"/>
      <c r="G999" s="343">
        <f t="shared" si="76"/>
        <v>0</v>
      </c>
      <c r="H999" s="343">
        <f t="shared" si="76"/>
        <v>0</v>
      </c>
      <c r="I999" s="343" t="e">
        <f t="shared" si="73"/>
        <v>#DIV/0!</v>
      </c>
    </row>
    <row r="1000" spans="1:10" ht="31.5" hidden="1" x14ac:dyDescent="0.25">
      <c r="A1000" s="31" t="s">
        <v>147</v>
      </c>
      <c r="B1000" s="336">
        <v>908</v>
      </c>
      <c r="C1000" s="346" t="s">
        <v>250</v>
      </c>
      <c r="D1000" s="346" t="s">
        <v>229</v>
      </c>
      <c r="E1000" s="338" t="s">
        <v>1108</v>
      </c>
      <c r="F1000" s="346" t="s">
        <v>148</v>
      </c>
      <c r="G1000" s="343">
        <f t="shared" si="76"/>
        <v>0</v>
      </c>
      <c r="H1000" s="343">
        <f t="shared" si="76"/>
        <v>0</v>
      </c>
      <c r="I1000" s="343" t="e">
        <f t="shared" si="73"/>
        <v>#DIV/0!</v>
      </c>
    </row>
    <row r="1001" spans="1:10" ht="31.5" hidden="1" x14ac:dyDescent="0.25">
      <c r="A1001" s="31" t="s">
        <v>149</v>
      </c>
      <c r="B1001" s="336">
        <v>908</v>
      </c>
      <c r="C1001" s="346" t="s">
        <v>250</v>
      </c>
      <c r="D1001" s="346" t="s">
        <v>229</v>
      </c>
      <c r="E1001" s="338" t="s">
        <v>1108</v>
      </c>
      <c r="F1001" s="346" t="s">
        <v>150</v>
      </c>
      <c r="G1001" s="6">
        <v>0</v>
      </c>
      <c r="H1001" s="6">
        <v>0</v>
      </c>
      <c r="I1001" s="343" t="e">
        <f t="shared" si="73"/>
        <v>#DIV/0!</v>
      </c>
    </row>
    <row r="1002" spans="1:10" s="218" customFormat="1" ht="31.5" x14ac:dyDescent="0.25">
      <c r="A1002" s="58" t="s">
        <v>1109</v>
      </c>
      <c r="B1002" s="337">
        <v>908</v>
      </c>
      <c r="C1002" s="334" t="s">
        <v>250</v>
      </c>
      <c r="D1002" s="334" t="s">
        <v>229</v>
      </c>
      <c r="E1002" s="341" t="s">
        <v>1110</v>
      </c>
      <c r="F1002" s="334"/>
      <c r="G1002" s="4">
        <f t="shared" ref="G1002:H1004" si="77">G1003</f>
        <v>44</v>
      </c>
      <c r="H1002" s="4">
        <f t="shared" si="77"/>
        <v>44</v>
      </c>
      <c r="I1002" s="339">
        <f t="shared" si="73"/>
        <v>100</v>
      </c>
      <c r="J1002" s="332"/>
    </row>
    <row r="1003" spans="1:10" ht="15.75" x14ac:dyDescent="0.25">
      <c r="A1003" s="45" t="s">
        <v>543</v>
      </c>
      <c r="B1003" s="336">
        <v>908</v>
      </c>
      <c r="C1003" s="346" t="s">
        <v>250</v>
      </c>
      <c r="D1003" s="346" t="s">
        <v>229</v>
      </c>
      <c r="E1003" s="338" t="s">
        <v>1111</v>
      </c>
      <c r="F1003" s="346"/>
      <c r="G1003" s="343">
        <f t="shared" si="77"/>
        <v>44</v>
      </c>
      <c r="H1003" s="343">
        <f t="shared" si="77"/>
        <v>44</v>
      </c>
      <c r="I1003" s="343">
        <f t="shared" si="73"/>
        <v>100</v>
      </c>
    </row>
    <row r="1004" spans="1:10" ht="31.5" x14ac:dyDescent="0.25">
      <c r="A1004" s="31" t="s">
        <v>147</v>
      </c>
      <c r="B1004" s="336">
        <v>908</v>
      </c>
      <c r="C1004" s="346" t="s">
        <v>250</v>
      </c>
      <c r="D1004" s="346" t="s">
        <v>229</v>
      </c>
      <c r="E1004" s="338" t="s">
        <v>1111</v>
      </c>
      <c r="F1004" s="346" t="s">
        <v>148</v>
      </c>
      <c r="G1004" s="343">
        <f t="shared" si="77"/>
        <v>44</v>
      </c>
      <c r="H1004" s="343">
        <f t="shared" si="77"/>
        <v>44</v>
      </c>
      <c r="I1004" s="343">
        <f t="shared" si="73"/>
        <v>100</v>
      </c>
    </row>
    <row r="1005" spans="1:10" ht="31.5" x14ac:dyDescent="0.25">
      <c r="A1005" s="31" t="s">
        <v>149</v>
      </c>
      <c r="B1005" s="336">
        <v>908</v>
      </c>
      <c r="C1005" s="346" t="s">
        <v>250</v>
      </c>
      <c r="D1005" s="346" t="s">
        <v>229</v>
      </c>
      <c r="E1005" s="338" t="s">
        <v>1111</v>
      </c>
      <c r="F1005" s="346" t="s">
        <v>150</v>
      </c>
      <c r="G1005" s="6">
        <v>44</v>
      </c>
      <c r="H1005" s="6">
        <v>44</v>
      </c>
      <c r="I1005" s="343">
        <f t="shared" si="73"/>
        <v>100</v>
      </c>
    </row>
    <row r="1006" spans="1:10" s="218" customFormat="1" ht="31.7" hidden="1" customHeight="1" x14ac:dyDescent="0.25">
      <c r="A1006" s="34" t="s">
        <v>1172</v>
      </c>
      <c r="B1006" s="337">
        <v>908</v>
      </c>
      <c r="C1006" s="334" t="s">
        <v>250</v>
      </c>
      <c r="D1006" s="334" t="s">
        <v>229</v>
      </c>
      <c r="E1006" s="341" t="s">
        <v>1173</v>
      </c>
      <c r="F1006" s="334"/>
      <c r="G1006" s="4">
        <f t="shared" ref="G1006:H1008" si="78">G1007</f>
        <v>0</v>
      </c>
      <c r="H1006" s="4">
        <f t="shared" si="78"/>
        <v>0</v>
      </c>
      <c r="I1006" s="343" t="e">
        <f t="shared" si="73"/>
        <v>#DIV/0!</v>
      </c>
      <c r="J1006" s="332"/>
    </row>
    <row r="1007" spans="1:10" ht="15.75" hidden="1" x14ac:dyDescent="0.25">
      <c r="A1007" s="45" t="s">
        <v>545</v>
      </c>
      <c r="B1007" s="336">
        <v>908</v>
      </c>
      <c r="C1007" s="346" t="s">
        <v>250</v>
      </c>
      <c r="D1007" s="346" t="s">
        <v>229</v>
      </c>
      <c r="E1007" s="338" t="s">
        <v>1176</v>
      </c>
      <c r="F1007" s="346"/>
      <c r="G1007" s="343">
        <f t="shared" si="78"/>
        <v>0</v>
      </c>
      <c r="H1007" s="343">
        <f t="shared" si="78"/>
        <v>0</v>
      </c>
      <c r="I1007" s="343" t="e">
        <f t="shared" si="73"/>
        <v>#DIV/0!</v>
      </c>
    </row>
    <row r="1008" spans="1:10" ht="31.5" hidden="1" x14ac:dyDescent="0.25">
      <c r="A1008" s="31" t="s">
        <v>147</v>
      </c>
      <c r="B1008" s="336">
        <v>908</v>
      </c>
      <c r="C1008" s="346" t="s">
        <v>250</v>
      </c>
      <c r="D1008" s="346" t="s">
        <v>229</v>
      </c>
      <c r="E1008" s="338" t="s">
        <v>1176</v>
      </c>
      <c r="F1008" s="346" t="s">
        <v>148</v>
      </c>
      <c r="G1008" s="343">
        <f t="shared" si="78"/>
        <v>0</v>
      </c>
      <c r="H1008" s="343">
        <f t="shared" si="78"/>
        <v>0</v>
      </c>
      <c r="I1008" s="343" t="e">
        <f t="shared" si="73"/>
        <v>#DIV/0!</v>
      </c>
    </row>
    <row r="1009" spans="1:10" ht="31.5" hidden="1" x14ac:dyDescent="0.25">
      <c r="A1009" s="31" t="s">
        <v>149</v>
      </c>
      <c r="B1009" s="336">
        <v>908</v>
      </c>
      <c r="C1009" s="346" t="s">
        <v>250</v>
      </c>
      <c r="D1009" s="346" t="s">
        <v>229</v>
      </c>
      <c r="E1009" s="338" t="s">
        <v>1176</v>
      </c>
      <c r="F1009" s="346" t="s">
        <v>150</v>
      </c>
      <c r="G1009" s="343">
        <v>0</v>
      </c>
      <c r="H1009" s="343">
        <v>0</v>
      </c>
      <c r="I1009" s="343" t="e">
        <f t="shared" si="73"/>
        <v>#DIV/0!</v>
      </c>
    </row>
    <row r="1010" spans="1:10" s="218" customFormat="1" ht="31.5" hidden="1" x14ac:dyDescent="0.25">
      <c r="A1010" s="232" t="s">
        <v>1174</v>
      </c>
      <c r="B1010" s="337">
        <v>908</v>
      </c>
      <c r="C1010" s="334" t="s">
        <v>250</v>
      </c>
      <c r="D1010" s="334" t="s">
        <v>229</v>
      </c>
      <c r="E1010" s="341" t="s">
        <v>1175</v>
      </c>
      <c r="F1010" s="334"/>
      <c r="G1010" s="339">
        <f t="shared" ref="G1010:H1012" si="79">G1011</f>
        <v>0</v>
      </c>
      <c r="H1010" s="339">
        <f t="shared" si="79"/>
        <v>0</v>
      </c>
      <c r="I1010" s="343" t="e">
        <f t="shared" si="73"/>
        <v>#DIV/0!</v>
      </c>
      <c r="J1010" s="332"/>
    </row>
    <row r="1011" spans="1:10" ht="21.75" hidden="1" customHeight="1" x14ac:dyDescent="0.25">
      <c r="A1011" s="178" t="s">
        <v>547</v>
      </c>
      <c r="B1011" s="336">
        <v>908</v>
      </c>
      <c r="C1011" s="346" t="s">
        <v>250</v>
      </c>
      <c r="D1011" s="346" t="s">
        <v>229</v>
      </c>
      <c r="E1011" s="338" t="s">
        <v>1177</v>
      </c>
      <c r="F1011" s="346"/>
      <c r="G1011" s="343">
        <f t="shared" si="79"/>
        <v>0</v>
      </c>
      <c r="H1011" s="343">
        <f t="shared" si="79"/>
        <v>0</v>
      </c>
      <c r="I1011" s="343" t="e">
        <f t="shared" si="73"/>
        <v>#DIV/0!</v>
      </c>
    </row>
    <row r="1012" spans="1:10" ht="31.7" hidden="1" customHeight="1" x14ac:dyDescent="0.25">
      <c r="A1012" s="31" t="s">
        <v>147</v>
      </c>
      <c r="B1012" s="336">
        <v>908</v>
      </c>
      <c r="C1012" s="346" t="s">
        <v>250</v>
      </c>
      <c r="D1012" s="346" t="s">
        <v>229</v>
      </c>
      <c r="E1012" s="338" t="s">
        <v>1177</v>
      </c>
      <c r="F1012" s="346" t="s">
        <v>148</v>
      </c>
      <c r="G1012" s="343">
        <f t="shared" si="79"/>
        <v>0</v>
      </c>
      <c r="H1012" s="343">
        <f t="shared" si="79"/>
        <v>0</v>
      </c>
      <c r="I1012" s="343" t="e">
        <f t="shared" si="73"/>
        <v>#DIV/0!</v>
      </c>
    </row>
    <row r="1013" spans="1:10" ht="36" hidden="1" customHeight="1" x14ac:dyDescent="0.25">
      <c r="A1013" s="31" t="s">
        <v>149</v>
      </c>
      <c r="B1013" s="336">
        <v>908</v>
      </c>
      <c r="C1013" s="346" t="s">
        <v>250</v>
      </c>
      <c r="D1013" s="346" t="s">
        <v>229</v>
      </c>
      <c r="E1013" s="338" t="s">
        <v>1177</v>
      </c>
      <c r="F1013" s="346" t="s">
        <v>150</v>
      </c>
      <c r="G1013" s="343">
        <v>0</v>
      </c>
      <c r="H1013" s="343">
        <v>0</v>
      </c>
      <c r="I1013" s="343" t="e">
        <f t="shared" si="73"/>
        <v>#DIV/0!</v>
      </c>
    </row>
    <row r="1014" spans="1:10" s="218" customFormat="1" ht="31.7" hidden="1" customHeight="1" x14ac:dyDescent="0.25">
      <c r="A1014" s="232" t="s">
        <v>1113</v>
      </c>
      <c r="B1014" s="337">
        <v>908</v>
      </c>
      <c r="C1014" s="334" t="s">
        <v>250</v>
      </c>
      <c r="D1014" s="334" t="s">
        <v>229</v>
      </c>
      <c r="E1014" s="341" t="s">
        <v>1114</v>
      </c>
      <c r="F1014" s="334"/>
      <c r="G1014" s="339">
        <f t="shared" ref="G1014:H1016" si="80">G1015</f>
        <v>0</v>
      </c>
      <c r="H1014" s="339">
        <f t="shared" si="80"/>
        <v>0</v>
      </c>
      <c r="I1014" s="343" t="e">
        <f t="shared" si="73"/>
        <v>#DIV/0!</v>
      </c>
      <c r="J1014" s="332"/>
    </row>
    <row r="1015" spans="1:10" ht="15.75" hidden="1" x14ac:dyDescent="0.25">
      <c r="A1015" s="178" t="s">
        <v>549</v>
      </c>
      <c r="B1015" s="336">
        <v>908</v>
      </c>
      <c r="C1015" s="346" t="s">
        <v>250</v>
      </c>
      <c r="D1015" s="346" t="s">
        <v>229</v>
      </c>
      <c r="E1015" s="338" t="s">
        <v>1112</v>
      </c>
      <c r="F1015" s="346"/>
      <c r="G1015" s="343">
        <f t="shared" si="80"/>
        <v>0</v>
      </c>
      <c r="H1015" s="343">
        <f t="shared" si="80"/>
        <v>0</v>
      </c>
      <c r="I1015" s="343" t="e">
        <f t="shared" si="73"/>
        <v>#DIV/0!</v>
      </c>
    </row>
    <row r="1016" spans="1:10" ht="31.5" hidden="1" x14ac:dyDescent="0.25">
      <c r="A1016" s="342" t="s">
        <v>147</v>
      </c>
      <c r="B1016" s="336">
        <v>908</v>
      </c>
      <c r="C1016" s="346" t="s">
        <v>250</v>
      </c>
      <c r="D1016" s="346" t="s">
        <v>229</v>
      </c>
      <c r="E1016" s="338" t="s">
        <v>1112</v>
      </c>
      <c r="F1016" s="346" t="s">
        <v>148</v>
      </c>
      <c r="G1016" s="343">
        <f t="shared" si="80"/>
        <v>0</v>
      </c>
      <c r="H1016" s="343">
        <f t="shared" si="80"/>
        <v>0</v>
      </c>
      <c r="I1016" s="343" t="e">
        <f t="shared" si="73"/>
        <v>#DIV/0!</v>
      </c>
    </row>
    <row r="1017" spans="1:10" ht="31.5" hidden="1" x14ac:dyDescent="0.25">
      <c r="A1017" s="342" t="s">
        <v>149</v>
      </c>
      <c r="B1017" s="336">
        <v>908</v>
      </c>
      <c r="C1017" s="346" t="s">
        <v>250</v>
      </c>
      <c r="D1017" s="346" t="s">
        <v>229</v>
      </c>
      <c r="E1017" s="338" t="s">
        <v>1112</v>
      </c>
      <c r="F1017" s="346" t="s">
        <v>150</v>
      </c>
      <c r="G1017" s="343">
        <v>0</v>
      </c>
      <c r="H1017" s="343">
        <v>0</v>
      </c>
      <c r="I1017" s="343" t="e">
        <f t="shared" si="73"/>
        <v>#DIV/0!</v>
      </c>
    </row>
    <row r="1018" spans="1:10" s="218" customFormat="1" ht="31.5" hidden="1" x14ac:dyDescent="0.25">
      <c r="A1018" s="340" t="s">
        <v>1363</v>
      </c>
      <c r="B1018" s="337">
        <v>908</v>
      </c>
      <c r="C1018" s="334" t="s">
        <v>250</v>
      </c>
      <c r="D1018" s="334" t="s">
        <v>229</v>
      </c>
      <c r="E1018" s="341" t="s">
        <v>1362</v>
      </c>
      <c r="F1018" s="334"/>
      <c r="G1018" s="339">
        <f t="shared" ref="G1018:H1021" si="81">G1019</f>
        <v>0</v>
      </c>
      <c r="H1018" s="339">
        <f t="shared" si="81"/>
        <v>0</v>
      </c>
      <c r="I1018" s="343" t="e">
        <f t="shared" si="73"/>
        <v>#DIV/0!</v>
      </c>
      <c r="J1018" s="332"/>
    </row>
    <row r="1019" spans="1:10" s="218" customFormat="1" ht="31.5" hidden="1" x14ac:dyDescent="0.25">
      <c r="A1019" s="340" t="s">
        <v>1364</v>
      </c>
      <c r="B1019" s="337">
        <v>908</v>
      </c>
      <c r="C1019" s="334" t="s">
        <v>250</v>
      </c>
      <c r="D1019" s="334" t="s">
        <v>229</v>
      </c>
      <c r="E1019" s="341" t="s">
        <v>1365</v>
      </c>
      <c r="F1019" s="334"/>
      <c r="G1019" s="339">
        <f t="shared" si="81"/>
        <v>0</v>
      </c>
      <c r="H1019" s="339">
        <f t="shared" si="81"/>
        <v>0</v>
      </c>
      <c r="I1019" s="343" t="e">
        <f t="shared" si="73"/>
        <v>#DIV/0!</v>
      </c>
      <c r="J1019" s="332"/>
    </row>
    <row r="1020" spans="1:10" s="218" customFormat="1" ht="15.75" hidden="1" x14ac:dyDescent="0.25">
      <c r="A1020" s="342" t="s">
        <v>553</v>
      </c>
      <c r="B1020" s="336">
        <v>908</v>
      </c>
      <c r="C1020" s="346" t="s">
        <v>250</v>
      </c>
      <c r="D1020" s="346" t="s">
        <v>229</v>
      </c>
      <c r="E1020" s="338" t="s">
        <v>1366</v>
      </c>
      <c r="F1020" s="346"/>
      <c r="G1020" s="343">
        <f t="shared" si="81"/>
        <v>0</v>
      </c>
      <c r="H1020" s="343">
        <f t="shared" si="81"/>
        <v>0</v>
      </c>
      <c r="I1020" s="343" t="e">
        <f t="shared" si="73"/>
        <v>#DIV/0!</v>
      </c>
      <c r="J1020" s="332"/>
    </row>
    <row r="1021" spans="1:10" s="218" customFormat="1" ht="31.5" hidden="1" x14ac:dyDescent="0.25">
      <c r="A1021" s="342" t="s">
        <v>147</v>
      </c>
      <c r="B1021" s="336">
        <v>908</v>
      </c>
      <c r="C1021" s="346" t="s">
        <v>250</v>
      </c>
      <c r="D1021" s="346" t="s">
        <v>229</v>
      </c>
      <c r="E1021" s="338" t="s">
        <v>1366</v>
      </c>
      <c r="F1021" s="346" t="s">
        <v>148</v>
      </c>
      <c r="G1021" s="343">
        <f t="shared" si="81"/>
        <v>0</v>
      </c>
      <c r="H1021" s="343">
        <f t="shared" si="81"/>
        <v>0</v>
      </c>
      <c r="I1021" s="343" t="e">
        <f t="shared" si="73"/>
        <v>#DIV/0!</v>
      </c>
      <c r="J1021" s="332"/>
    </row>
    <row r="1022" spans="1:10" s="218" customFormat="1" ht="31.5" hidden="1" x14ac:dyDescent="0.25">
      <c r="A1022" s="342" t="s">
        <v>149</v>
      </c>
      <c r="B1022" s="336">
        <v>908</v>
      </c>
      <c r="C1022" s="346" t="s">
        <v>250</v>
      </c>
      <c r="D1022" s="346" t="s">
        <v>229</v>
      </c>
      <c r="E1022" s="338" t="s">
        <v>1366</v>
      </c>
      <c r="F1022" s="346" t="s">
        <v>150</v>
      </c>
      <c r="G1022" s="343">
        <f>120-120</f>
        <v>0</v>
      </c>
      <c r="H1022" s="343">
        <f>120-120</f>
        <v>0</v>
      </c>
      <c r="I1022" s="343" t="e">
        <f t="shared" si="73"/>
        <v>#DIV/0!</v>
      </c>
      <c r="J1022" s="332"/>
    </row>
    <row r="1023" spans="1:10" ht="15.75" x14ac:dyDescent="0.25">
      <c r="A1023" s="340" t="s">
        <v>557</v>
      </c>
      <c r="B1023" s="337">
        <v>908</v>
      </c>
      <c r="C1023" s="341" t="s">
        <v>250</v>
      </c>
      <c r="D1023" s="341" t="s">
        <v>231</v>
      </c>
      <c r="E1023" s="341"/>
      <c r="F1023" s="341"/>
      <c r="G1023" s="339">
        <f>G1024+G1031+G1069</f>
        <v>4384.2000000000007</v>
      </c>
      <c r="H1023" s="339">
        <f>H1024+H1031+H1069</f>
        <v>837.69</v>
      </c>
      <c r="I1023" s="339">
        <f t="shared" si="73"/>
        <v>19.107020665115641</v>
      </c>
    </row>
    <row r="1024" spans="1:10" s="218" customFormat="1" ht="15.75" x14ac:dyDescent="0.25">
      <c r="A1024" s="340" t="s">
        <v>157</v>
      </c>
      <c r="B1024" s="337">
        <v>908</v>
      </c>
      <c r="C1024" s="341" t="s">
        <v>250</v>
      </c>
      <c r="D1024" s="341" t="s">
        <v>231</v>
      </c>
      <c r="E1024" s="341" t="s">
        <v>912</v>
      </c>
      <c r="F1024" s="341"/>
      <c r="G1024" s="339">
        <f>G1025</f>
        <v>420</v>
      </c>
      <c r="H1024" s="339">
        <f>H1025</f>
        <v>30</v>
      </c>
      <c r="I1024" s="339">
        <f t="shared" si="73"/>
        <v>7.1428571428571423</v>
      </c>
      <c r="J1024" s="332"/>
    </row>
    <row r="1025" spans="1:10" s="218" customFormat="1" ht="31.5" x14ac:dyDescent="0.25">
      <c r="A1025" s="340" t="s">
        <v>916</v>
      </c>
      <c r="B1025" s="337">
        <v>908</v>
      </c>
      <c r="C1025" s="341" t="s">
        <v>250</v>
      </c>
      <c r="D1025" s="341" t="s">
        <v>231</v>
      </c>
      <c r="E1025" s="341" t="s">
        <v>911</v>
      </c>
      <c r="F1025" s="341"/>
      <c r="G1025" s="339">
        <f>G1026+G1029</f>
        <v>420</v>
      </c>
      <c r="H1025" s="339">
        <f>H1026+H1029</f>
        <v>30</v>
      </c>
      <c r="I1025" s="339">
        <f t="shared" si="73"/>
        <v>7.1428571428571423</v>
      </c>
      <c r="J1025" s="332"/>
    </row>
    <row r="1026" spans="1:10" s="218" customFormat="1" ht="15.75" x14ac:dyDescent="0.25">
      <c r="A1026" s="342" t="s">
        <v>580</v>
      </c>
      <c r="B1026" s="336">
        <v>908</v>
      </c>
      <c r="C1026" s="338" t="s">
        <v>250</v>
      </c>
      <c r="D1026" s="338" t="s">
        <v>231</v>
      </c>
      <c r="E1026" s="338" t="s">
        <v>1261</v>
      </c>
      <c r="F1026" s="338"/>
      <c r="G1026" s="343">
        <f>G1027</f>
        <v>390</v>
      </c>
      <c r="H1026" s="343">
        <f>H1027</f>
        <v>0</v>
      </c>
      <c r="I1026" s="343">
        <f t="shared" si="73"/>
        <v>0</v>
      </c>
      <c r="J1026" s="332"/>
    </row>
    <row r="1027" spans="1:10" s="218" customFormat="1" ht="31.5" x14ac:dyDescent="0.25">
      <c r="A1027" s="342" t="s">
        <v>147</v>
      </c>
      <c r="B1027" s="336">
        <v>908</v>
      </c>
      <c r="C1027" s="338" t="s">
        <v>250</v>
      </c>
      <c r="D1027" s="338" t="s">
        <v>231</v>
      </c>
      <c r="E1027" s="338" t="s">
        <v>1261</v>
      </c>
      <c r="F1027" s="338" t="s">
        <v>148</v>
      </c>
      <c r="G1027" s="343">
        <f>G1028</f>
        <v>390</v>
      </c>
      <c r="H1027" s="343">
        <f>H1028</f>
        <v>0</v>
      </c>
      <c r="I1027" s="343">
        <f t="shared" si="73"/>
        <v>0</v>
      </c>
      <c r="J1027" s="332"/>
    </row>
    <row r="1028" spans="1:10" s="218" customFormat="1" ht="31.5" x14ac:dyDescent="0.25">
      <c r="A1028" s="342" t="s">
        <v>149</v>
      </c>
      <c r="B1028" s="336">
        <v>908</v>
      </c>
      <c r="C1028" s="338" t="s">
        <v>250</v>
      </c>
      <c r="D1028" s="338" t="s">
        <v>231</v>
      </c>
      <c r="E1028" s="338" t="s">
        <v>1261</v>
      </c>
      <c r="F1028" s="338" t="s">
        <v>150</v>
      </c>
      <c r="G1028" s="344">
        <f>390</f>
        <v>390</v>
      </c>
      <c r="H1028" s="344">
        <v>0</v>
      </c>
      <c r="I1028" s="343">
        <f t="shared" si="73"/>
        <v>0</v>
      </c>
      <c r="J1028" s="332"/>
    </row>
    <row r="1029" spans="1:10" s="332" customFormat="1" ht="15.75" x14ac:dyDescent="0.25">
      <c r="A1029" s="342" t="s">
        <v>151</v>
      </c>
      <c r="B1029" s="336">
        <v>908</v>
      </c>
      <c r="C1029" s="338" t="s">
        <v>250</v>
      </c>
      <c r="D1029" s="338" t="s">
        <v>231</v>
      </c>
      <c r="E1029" s="338" t="s">
        <v>1261</v>
      </c>
      <c r="F1029" s="338" t="s">
        <v>161</v>
      </c>
      <c r="G1029" s="344">
        <f>G1030</f>
        <v>30</v>
      </c>
      <c r="H1029" s="344">
        <f>H1030</f>
        <v>30</v>
      </c>
      <c r="I1029" s="343">
        <f t="shared" si="73"/>
        <v>100</v>
      </c>
    </row>
    <row r="1030" spans="1:10" s="332" customFormat="1" ht="15.75" x14ac:dyDescent="0.25">
      <c r="A1030" s="342" t="s">
        <v>727</v>
      </c>
      <c r="B1030" s="336">
        <v>908</v>
      </c>
      <c r="C1030" s="338" t="s">
        <v>250</v>
      </c>
      <c r="D1030" s="338" t="s">
        <v>231</v>
      </c>
      <c r="E1030" s="338" t="s">
        <v>1261</v>
      </c>
      <c r="F1030" s="338" t="s">
        <v>154</v>
      </c>
      <c r="G1030" s="344">
        <v>30</v>
      </c>
      <c r="H1030" s="344">
        <v>30</v>
      </c>
      <c r="I1030" s="343">
        <f t="shared" si="73"/>
        <v>100</v>
      </c>
    </row>
    <row r="1031" spans="1:10" ht="34.5" customHeight="1" x14ac:dyDescent="0.25">
      <c r="A1031" s="340" t="s">
        <v>558</v>
      </c>
      <c r="B1031" s="337">
        <v>908</v>
      </c>
      <c r="C1031" s="341" t="s">
        <v>250</v>
      </c>
      <c r="D1031" s="341" t="s">
        <v>231</v>
      </c>
      <c r="E1031" s="341" t="s">
        <v>559</v>
      </c>
      <c r="F1031" s="341"/>
      <c r="G1031" s="339">
        <f>G1032+G1046</f>
        <v>3563.2000000000003</v>
      </c>
      <c r="H1031" s="339">
        <f>H1032+H1046</f>
        <v>807.69</v>
      </c>
      <c r="I1031" s="339">
        <f t="shared" si="73"/>
        <v>22.667546026044004</v>
      </c>
    </row>
    <row r="1032" spans="1:10" ht="48.2" customHeight="1" x14ac:dyDescent="0.25">
      <c r="A1032" s="340" t="s">
        <v>560</v>
      </c>
      <c r="B1032" s="337">
        <v>908</v>
      </c>
      <c r="C1032" s="341" t="s">
        <v>250</v>
      </c>
      <c r="D1032" s="341" t="s">
        <v>231</v>
      </c>
      <c r="E1032" s="341" t="s">
        <v>561</v>
      </c>
      <c r="F1032" s="341"/>
      <c r="G1032" s="339">
        <f>G1033</f>
        <v>1143.4000000000001</v>
      </c>
      <c r="H1032" s="339">
        <f>H1033</f>
        <v>489.69</v>
      </c>
      <c r="I1032" s="339">
        <f t="shared" si="73"/>
        <v>42.827531922336888</v>
      </c>
    </row>
    <row r="1033" spans="1:10" s="218" customFormat="1" ht="35.450000000000003" customHeight="1" x14ac:dyDescent="0.25">
      <c r="A1033" s="340" t="s">
        <v>1122</v>
      </c>
      <c r="B1033" s="337">
        <v>908</v>
      </c>
      <c r="C1033" s="341" t="s">
        <v>250</v>
      </c>
      <c r="D1033" s="341" t="s">
        <v>231</v>
      </c>
      <c r="E1033" s="341" t="s">
        <v>1120</v>
      </c>
      <c r="F1033" s="341"/>
      <c r="G1033" s="339">
        <f>G1034+G1037+G1043</f>
        <v>1143.4000000000001</v>
      </c>
      <c r="H1033" s="339">
        <f>H1034+H1037+H1043</f>
        <v>489.69</v>
      </c>
      <c r="I1033" s="339">
        <f t="shared" si="73"/>
        <v>42.827531922336888</v>
      </c>
      <c r="J1033" s="332"/>
    </row>
    <row r="1034" spans="1:10" ht="19.5" customHeight="1" x14ac:dyDescent="0.25">
      <c r="A1034" s="342" t="s">
        <v>562</v>
      </c>
      <c r="B1034" s="336">
        <v>908</v>
      </c>
      <c r="C1034" s="338" t="s">
        <v>250</v>
      </c>
      <c r="D1034" s="338" t="s">
        <v>231</v>
      </c>
      <c r="E1034" s="338" t="s">
        <v>1121</v>
      </c>
      <c r="F1034" s="338"/>
      <c r="G1034" s="343">
        <f>G1035</f>
        <v>90</v>
      </c>
      <c r="H1034" s="343">
        <f>H1035</f>
        <v>45</v>
      </c>
      <c r="I1034" s="343">
        <f t="shared" si="73"/>
        <v>50</v>
      </c>
    </row>
    <row r="1035" spans="1:10" ht="31.5" x14ac:dyDescent="0.25">
      <c r="A1035" s="342" t="s">
        <v>147</v>
      </c>
      <c r="B1035" s="336">
        <v>908</v>
      </c>
      <c r="C1035" s="338" t="s">
        <v>250</v>
      </c>
      <c r="D1035" s="338" t="s">
        <v>231</v>
      </c>
      <c r="E1035" s="338" t="s">
        <v>1121</v>
      </c>
      <c r="F1035" s="338" t="s">
        <v>148</v>
      </c>
      <c r="G1035" s="343">
        <f>G1036</f>
        <v>90</v>
      </c>
      <c r="H1035" s="343">
        <f>H1036</f>
        <v>45</v>
      </c>
      <c r="I1035" s="343">
        <f t="shared" ref="I1035:I1098" si="82">H1035/G1035*100</f>
        <v>50</v>
      </c>
    </row>
    <row r="1036" spans="1:10" ht="31.5" x14ac:dyDescent="0.25">
      <c r="A1036" s="342" t="s">
        <v>149</v>
      </c>
      <c r="B1036" s="336">
        <v>908</v>
      </c>
      <c r="C1036" s="338" t="s">
        <v>250</v>
      </c>
      <c r="D1036" s="338" t="s">
        <v>231</v>
      </c>
      <c r="E1036" s="338" t="s">
        <v>1121</v>
      </c>
      <c r="F1036" s="338" t="s">
        <v>150</v>
      </c>
      <c r="G1036" s="343">
        <v>90</v>
      </c>
      <c r="H1036" s="343">
        <v>45</v>
      </c>
      <c r="I1036" s="343">
        <f t="shared" si="82"/>
        <v>50</v>
      </c>
    </row>
    <row r="1037" spans="1:10" ht="15.75" x14ac:dyDescent="0.25">
      <c r="A1037" s="342" t="s">
        <v>1287</v>
      </c>
      <c r="B1037" s="336">
        <v>908</v>
      </c>
      <c r="C1037" s="338" t="s">
        <v>250</v>
      </c>
      <c r="D1037" s="338" t="s">
        <v>231</v>
      </c>
      <c r="E1037" s="338" t="s">
        <v>1123</v>
      </c>
      <c r="F1037" s="338"/>
      <c r="G1037" s="343">
        <f>G1038+G1040</f>
        <v>1037.4000000000001</v>
      </c>
      <c r="H1037" s="343">
        <f>H1038+H1040</f>
        <v>444.69</v>
      </c>
      <c r="I1037" s="343">
        <f t="shared" si="82"/>
        <v>42.865818392134173</v>
      </c>
    </row>
    <row r="1038" spans="1:10" ht="31.5" x14ac:dyDescent="0.25">
      <c r="A1038" s="342" t="s">
        <v>147</v>
      </c>
      <c r="B1038" s="336">
        <v>908</v>
      </c>
      <c r="C1038" s="338" t="s">
        <v>250</v>
      </c>
      <c r="D1038" s="338" t="s">
        <v>231</v>
      </c>
      <c r="E1038" s="338" t="s">
        <v>1123</v>
      </c>
      <c r="F1038" s="338" t="s">
        <v>148</v>
      </c>
      <c r="G1038" s="343">
        <f>G1039</f>
        <v>1037.4000000000001</v>
      </c>
      <c r="H1038" s="343">
        <f>H1039</f>
        <v>444.69</v>
      </c>
      <c r="I1038" s="343">
        <f t="shared" si="82"/>
        <v>42.865818392134173</v>
      </c>
    </row>
    <row r="1039" spans="1:10" ht="31.5" x14ac:dyDescent="0.25">
      <c r="A1039" s="342" t="s">
        <v>149</v>
      </c>
      <c r="B1039" s="336">
        <v>908</v>
      </c>
      <c r="C1039" s="338" t="s">
        <v>250</v>
      </c>
      <c r="D1039" s="338" t="s">
        <v>231</v>
      </c>
      <c r="E1039" s="338" t="s">
        <v>1123</v>
      </c>
      <c r="F1039" s="338" t="s">
        <v>150</v>
      </c>
      <c r="G1039" s="343">
        <f>650+7.8+379.6</f>
        <v>1037.4000000000001</v>
      </c>
      <c r="H1039" s="343">
        <v>444.69</v>
      </c>
      <c r="I1039" s="343">
        <f t="shared" si="82"/>
        <v>42.865818392134173</v>
      </c>
    </row>
    <row r="1040" spans="1:10" ht="15.75" hidden="1" x14ac:dyDescent="0.25">
      <c r="A1040" s="342" t="s">
        <v>151</v>
      </c>
      <c r="B1040" s="336">
        <v>908</v>
      </c>
      <c r="C1040" s="338" t="s">
        <v>250</v>
      </c>
      <c r="D1040" s="338" t="s">
        <v>231</v>
      </c>
      <c r="E1040" s="338" t="s">
        <v>1123</v>
      </c>
      <c r="F1040" s="338" t="s">
        <v>161</v>
      </c>
      <c r="G1040" s="343">
        <f>G1042+G1041</f>
        <v>0</v>
      </c>
      <c r="H1040" s="343">
        <f>H1042+H1041</f>
        <v>0</v>
      </c>
      <c r="I1040" s="343" t="e">
        <f t="shared" si="82"/>
        <v>#DIV/0!</v>
      </c>
    </row>
    <row r="1041" spans="1:10" s="218" customFormat="1" ht="32.25" hidden="1" customHeight="1" x14ac:dyDescent="0.25">
      <c r="A1041" s="342" t="s">
        <v>882</v>
      </c>
      <c r="B1041" s="336">
        <v>908</v>
      </c>
      <c r="C1041" s="338" t="s">
        <v>250</v>
      </c>
      <c r="D1041" s="338" t="s">
        <v>231</v>
      </c>
      <c r="E1041" s="338" t="s">
        <v>1123</v>
      </c>
      <c r="F1041" s="338" t="s">
        <v>163</v>
      </c>
      <c r="G1041" s="343">
        <v>0</v>
      </c>
      <c r="H1041" s="343">
        <v>0</v>
      </c>
      <c r="I1041" s="343" t="e">
        <f t="shared" si="82"/>
        <v>#DIV/0!</v>
      </c>
      <c r="J1041" s="332"/>
    </row>
    <row r="1042" spans="1:10" ht="15.75" hidden="1" x14ac:dyDescent="0.25">
      <c r="A1042" s="342" t="s">
        <v>727</v>
      </c>
      <c r="B1042" s="336">
        <v>908</v>
      </c>
      <c r="C1042" s="338" t="s">
        <v>250</v>
      </c>
      <c r="D1042" s="338" t="s">
        <v>231</v>
      </c>
      <c r="E1042" s="338" t="s">
        <v>1123</v>
      </c>
      <c r="F1042" s="338" t="s">
        <v>154</v>
      </c>
      <c r="G1042" s="343">
        <f>3.4+37.5-40.9</f>
        <v>0</v>
      </c>
      <c r="H1042" s="343">
        <f>3.4+37.5-40.9</f>
        <v>0</v>
      </c>
      <c r="I1042" s="343" t="e">
        <f t="shared" si="82"/>
        <v>#DIV/0!</v>
      </c>
    </row>
    <row r="1043" spans="1:10" ht="15.75" x14ac:dyDescent="0.25">
      <c r="A1043" s="342" t="s">
        <v>566</v>
      </c>
      <c r="B1043" s="336">
        <v>908</v>
      </c>
      <c r="C1043" s="338" t="s">
        <v>250</v>
      </c>
      <c r="D1043" s="338" t="s">
        <v>231</v>
      </c>
      <c r="E1043" s="338" t="s">
        <v>1124</v>
      </c>
      <c r="F1043" s="338"/>
      <c r="G1043" s="343">
        <f>G1044</f>
        <v>16</v>
      </c>
      <c r="H1043" s="343">
        <f>H1044</f>
        <v>0</v>
      </c>
      <c r="I1043" s="343">
        <f t="shared" si="82"/>
        <v>0</v>
      </c>
    </row>
    <row r="1044" spans="1:10" ht="31.5" x14ac:dyDescent="0.25">
      <c r="A1044" s="342" t="s">
        <v>147</v>
      </c>
      <c r="B1044" s="336">
        <v>908</v>
      </c>
      <c r="C1044" s="338" t="s">
        <v>250</v>
      </c>
      <c r="D1044" s="338" t="s">
        <v>231</v>
      </c>
      <c r="E1044" s="338" t="s">
        <v>1124</v>
      </c>
      <c r="F1044" s="338" t="s">
        <v>148</v>
      </c>
      <c r="G1044" s="343">
        <f>G1045</f>
        <v>16</v>
      </c>
      <c r="H1044" s="343">
        <f>H1045</f>
        <v>0</v>
      </c>
      <c r="I1044" s="343">
        <f t="shared" si="82"/>
        <v>0</v>
      </c>
    </row>
    <row r="1045" spans="1:10" ht="31.5" x14ac:dyDescent="0.25">
      <c r="A1045" s="342" t="s">
        <v>149</v>
      </c>
      <c r="B1045" s="336">
        <v>908</v>
      </c>
      <c r="C1045" s="338" t="s">
        <v>250</v>
      </c>
      <c r="D1045" s="338" t="s">
        <v>231</v>
      </c>
      <c r="E1045" s="338" t="s">
        <v>1124</v>
      </c>
      <c r="F1045" s="338" t="s">
        <v>150</v>
      </c>
      <c r="G1045" s="343">
        <f>200-184</f>
        <v>16</v>
      </c>
      <c r="H1045" s="343">
        <v>0</v>
      </c>
      <c r="I1045" s="343">
        <f t="shared" si="82"/>
        <v>0</v>
      </c>
    </row>
    <row r="1046" spans="1:10" ht="45.75" customHeight="1" x14ac:dyDescent="0.25">
      <c r="A1046" s="340" t="s">
        <v>568</v>
      </c>
      <c r="B1046" s="337">
        <v>908</v>
      </c>
      <c r="C1046" s="341" t="s">
        <v>250</v>
      </c>
      <c r="D1046" s="341" t="s">
        <v>231</v>
      </c>
      <c r="E1046" s="341" t="s">
        <v>569</v>
      </c>
      <c r="F1046" s="341"/>
      <c r="G1046" s="339">
        <f>G1047+G1062</f>
        <v>2419.8000000000002</v>
      </c>
      <c r="H1046" s="339">
        <f>H1047+H1062</f>
        <v>318</v>
      </c>
      <c r="I1046" s="339">
        <f t="shared" si="82"/>
        <v>13.141581948921397</v>
      </c>
    </row>
    <row r="1047" spans="1:10" s="218" customFormat="1" ht="32.25" customHeight="1" x14ac:dyDescent="0.25">
      <c r="A1047" s="340" t="s">
        <v>1140</v>
      </c>
      <c r="B1047" s="337">
        <v>908</v>
      </c>
      <c r="C1047" s="341" t="s">
        <v>250</v>
      </c>
      <c r="D1047" s="341" t="s">
        <v>231</v>
      </c>
      <c r="E1047" s="341" t="s">
        <v>1125</v>
      </c>
      <c r="F1047" s="341"/>
      <c r="G1047" s="339">
        <f>G1059+G1048+G1051+G1056</f>
        <v>505.3</v>
      </c>
      <c r="H1047" s="339">
        <f>H1059+H1048+H1051+H1056</f>
        <v>318</v>
      </c>
      <c r="I1047" s="339">
        <f t="shared" si="82"/>
        <v>62.9329111418959</v>
      </c>
      <c r="J1047" s="332"/>
    </row>
    <row r="1048" spans="1:10" ht="15.75" x14ac:dyDescent="0.25">
      <c r="A1048" s="342" t="s">
        <v>571</v>
      </c>
      <c r="B1048" s="336">
        <v>908</v>
      </c>
      <c r="C1048" s="338" t="s">
        <v>250</v>
      </c>
      <c r="D1048" s="338" t="s">
        <v>231</v>
      </c>
      <c r="E1048" s="338" t="s">
        <v>1127</v>
      </c>
      <c r="F1048" s="338"/>
      <c r="G1048" s="343">
        <f>G1049</f>
        <v>4</v>
      </c>
      <c r="H1048" s="343">
        <f>H1049</f>
        <v>0</v>
      </c>
      <c r="I1048" s="343">
        <f t="shared" si="82"/>
        <v>0</v>
      </c>
    </row>
    <row r="1049" spans="1:10" ht="31.5" x14ac:dyDescent="0.25">
      <c r="A1049" s="342" t="s">
        <v>147</v>
      </c>
      <c r="B1049" s="336">
        <v>908</v>
      </c>
      <c r="C1049" s="338" t="s">
        <v>250</v>
      </c>
      <c r="D1049" s="338" t="s">
        <v>231</v>
      </c>
      <c r="E1049" s="338" t="s">
        <v>1127</v>
      </c>
      <c r="F1049" s="338" t="s">
        <v>148</v>
      </c>
      <c r="G1049" s="343">
        <f>G1050</f>
        <v>4</v>
      </c>
      <c r="H1049" s="343">
        <f>H1050</f>
        <v>0</v>
      </c>
      <c r="I1049" s="343">
        <f t="shared" si="82"/>
        <v>0</v>
      </c>
    </row>
    <row r="1050" spans="1:10" ht="36" customHeight="1" x14ac:dyDescent="0.25">
      <c r="A1050" s="342" t="s">
        <v>149</v>
      </c>
      <c r="B1050" s="336">
        <v>908</v>
      </c>
      <c r="C1050" s="338" t="s">
        <v>250</v>
      </c>
      <c r="D1050" s="338" t="s">
        <v>231</v>
      </c>
      <c r="E1050" s="338" t="s">
        <v>1127</v>
      </c>
      <c r="F1050" s="338" t="s">
        <v>150</v>
      </c>
      <c r="G1050" s="343">
        <v>4</v>
      </c>
      <c r="H1050" s="343">
        <v>0</v>
      </c>
      <c r="I1050" s="343">
        <f t="shared" si="82"/>
        <v>0</v>
      </c>
    </row>
    <row r="1051" spans="1:10" ht="30.75" customHeight="1" x14ac:dyDescent="0.25">
      <c r="A1051" s="45" t="s">
        <v>573</v>
      </c>
      <c r="B1051" s="336">
        <v>908</v>
      </c>
      <c r="C1051" s="338" t="s">
        <v>250</v>
      </c>
      <c r="D1051" s="338" t="s">
        <v>231</v>
      </c>
      <c r="E1051" s="338" t="s">
        <v>1128</v>
      </c>
      <c r="F1051" s="338"/>
      <c r="G1051" s="343">
        <f>G1052+G1054</f>
        <v>490.3</v>
      </c>
      <c r="H1051" s="343">
        <f>H1052+H1054</f>
        <v>318</v>
      </c>
      <c r="I1051" s="343">
        <f t="shared" si="82"/>
        <v>64.858250050989184</v>
      </c>
    </row>
    <row r="1052" spans="1:10" ht="31.5" x14ac:dyDescent="0.25">
      <c r="A1052" s="342" t="s">
        <v>147</v>
      </c>
      <c r="B1052" s="336">
        <v>908</v>
      </c>
      <c r="C1052" s="338" t="s">
        <v>250</v>
      </c>
      <c r="D1052" s="338" t="s">
        <v>231</v>
      </c>
      <c r="E1052" s="338" t="s">
        <v>1128</v>
      </c>
      <c r="F1052" s="338" t="s">
        <v>148</v>
      </c>
      <c r="G1052" s="343">
        <f>G1053</f>
        <v>490.3</v>
      </c>
      <c r="H1052" s="343">
        <f>H1053</f>
        <v>318</v>
      </c>
      <c r="I1052" s="343">
        <f t="shared" si="82"/>
        <v>64.858250050989184</v>
      </c>
    </row>
    <row r="1053" spans="1:10" ht="31.5" x14ac:dyDescent="0.25">
      <c r="A1053" s="342" t="s">
        <v>149</v>
      </c>
      <c r="B1053" s="336">
        <v>908</v>
      </c>
      <c r="C1053" s="338" t="s">
        <v>250</v>
      </c>
      <c r="D1053" s="338" t="s">
        <v>231</v>
      </c>
      <c r="E1053" s="338" t="s">
        <v>1128</v>
      </c>
      <c r="F1053" s="338" t="s">
        <v>150</v>
      </c>
      <c r="G1053" s="343">
        <f>300-300+345+145.3</f>
        <v>490.3</v>
      </c>
      <c r="H1053" s="343">
        <v>318</v>
      </c>
      <c r="I1053" s="343">
        <f t="shared" si="82"/>
        <v>64.858250050989184</v>
      </c>
    </row>
    <row r="1054" spans="1:10" s="218" customFormat="1" ht="15.75" hidden="1" x14ac:dyDescent="0.25">
      <c r="A1054" s="342" t="s">
        <v>151</v>
      </c>
      <c r="B1054" s="336">
        <v>908</v>
      </c>
      <c r="C1054" s="338" t="s">
        <v>250</v>
      </c>
      <c r="D1054" s="338" t="s">
        <v>231</v>
      </c>
      <c r="E1054" s="338" t="s">
        <v>1128</v>
      </c>
      <c r="F1054" s="338" t="s">
        <v>161</v>
      </c>
      <c r="G1054" s="343">
        <f>G1055</f>
        <v>0</v>
      </c>
      <c r="H1054" s="343">
        <f>H1055</f>
        <v>0</v>
      </c>
      <c r="I1054" s="343" t="e">
        <f t="shared" si="82"/>
        <v>#DIV/0!</v>
      </c>
      <c r="J1054" s="332"/>
    </row>
    <row r="1055" spans="1:10" s="218" customFormat="1" ht="15.75" hidden="1" x14ac:dyDescent="0.25">
      <c r="A1055" s="342" t="s">
        <v>727</v>
      </c>
      <c r="B1055" s="336">
        <v>908</v>
      </c>
      <c r="C1055" s="338" t="s">
        <v>250</v>
      </c>
      <c r="D1055" s="338" t="s">
        <v>231</v>
      </c>
      <c r="E1055" s="338" t="s">
        <v>1128</v>
      </c>
      <c r="F1055" s="338" t="s">
        <v>154</v>
      </c>
      <c r="G1055" s="343">
        <f>75-75</f>
        <v>0</v>
      </c>
      <c r="H1055" s="343">
        <f>75-75</f>
        <v>0</v>
      </c>
      <c r="I1055" s="343" t="e">
        <f t="shared" si="82"/>
        <v>#DIV/0!</v>
      </c>
      <c r="J1055" s="332"/>
    </row>
    <row r="1056" spans="1:10" ht="15.75" hidden="1" x14ac:dyDescent="0.25">
      <c r="A1056" s="45" t="s">
        <v>575</v>
      </c>
      <c r="B1056" s="336">
        <v>908</v>
      </c>
      <c r="C1056" s="338" t="s">
        <v>250</v>
      </c>
      <c r="D1056" s="338" t="s">
        <v>231</v>
      </c>
      <c r="E1056" s="338" t="s">
        <v>1129</v>
      </c>
      <c r="F1056" s="338"/>
      <c r="G1056" s="343">
        <f>G1057</f>
        <v>0</v>
      </c>
      <c r="H1056" s="343">
        <f>H1057</f>
        <v>0</v>
      </c>
      <c r="I1056" s="343" t="e">
        <f t="shared" si="82"/>
        <v>#DIV/0!</v>
      </c>
    </row>
    <row r="1057" spans="1:10" ht="31.5" hidden="1" x14ac:dyDescent="0.25">
      <c r="A1057" s="342" t="s">
        <v>147</v>
      </c>
      <c r="B1057" s="336">
        <v>908</v>
      </c>
      <c r="C1057" s="338" t="s">
        <v>250</v>
      </c>
      <c r="D1057" s="338" t="s">
        <v>231</v>
      </c>
      <c r="E1057" s="338" t="s">
        <v>1129</v>
      </c>
      <c r="F1057" s="338" t="s">
        <v>148</v>
      </c>
      <c r="G1057" s="343">
        <f>G1058</f>
        <v>0</v>
      </c>
      <c r="H1057" s="343">
        <f>H1058</f>
        <v>0</v>
      </c>
      <c r="I1057" s="343" t="e">
        <f t="shared" si="82"/>
        <v>#DIV/0!</v>
      </c>
    </row>
    <row r="1058" spans="1:10" ht="31.5" hidden="1" x14ac:dyDescent="0.25">
      <c r="A1058" s="342" t="s">
        <v>149</v>
      </c>
      <c r="B1058" s="336">
        <v>908</v>
      </c>
      <c r="C1058" s="338" t="s">
        <v>250</v>
      </c>
      <c r="D1058" s="338" t="s">
        <v>231</v>
      </c>
      <c r="E1058" s="338" t="s">
        <v>1129</v>
      </c>
      <c r="F1058" s="338" t="s">
        <v>150</v>
      </c>
      <c r="G1058" s="343">
        <v>0</v>
      </c>
      <c r="H1058" s="343">
        <v>0</v>
      </c>
      <c r="I1058" s="343" t="e">
        <f t="shared" si="82"/>
        <v>#DIV/0!</v>
      </c>
    </row>
    <row r="1059" spans="1:10" s="218" customFormat="1" ht="31.5" x14ac:dyDescent="0.25">
      <c r="A1059" s="244" t="s">
        <v>1289</v>
      </c>
      <c r="B1059" s="336">
        <v>908</v>
      </c>
      <c r="C1059" s="338" t="s">
        <v>250</v>
      </c>
      <c r="D1059" s="338" t="s">
        <v>231</v>
      </c>
      <c r="E1059" s="338" t="s">
        <v>1290</v>
      </c>
      <c r="F1059" s="338"/>
      <c r="G1059" s="343">
        <f>G1060</f>
        <v>11</v>
      </c>
      <c r="H1059" s="343">
        <f>H1060</f>
        <v>0</v>
      </c>
      <c r="I1059" s="343">
        <f t="shared" si="82"/>
        <v>0</v>
      </c>
      <c r="J1059" s="332"/>
    </row>
    <row r="1060" spans="1:10" s="218" customFormat="1" ht="31.5" x14ac:dyDescent="0.25">
      <c r="A1060" s="342" t="s">
        <v>147</v>
      </c>
      <c r="B1060" s="336">
        <v>908</v>
      </c>
      <c r="C1060" s="338" t="s">
        <v>250</v>
      </c>
      <c r="D1060" s="338" t="s">
        <v>231</v>
      </c>
      <c r="E1060" s="338" t="s">
        <v>1290</v>
      </c>
      <c r="F1060" s="338" t="s">
        <v>148</v>
      </c>
      <c r="G1060" s="343">
        <f>G1061</f>
        <v>11</v>
      </c>
      <c r="H1060" s="343">
        <f>H1061</f>
        <v>0</v>
      </c>
      <c r="I1060" s="343">
        <f t="shared" si="82"/>
        <v>0</v>
      </c>
      <c r="J1060" s="332"/>
    </row>
    <row r="1061" spans="1:10" s="218" customFormat="1" ht="31.5" x14ac:dyDescent="0.25">
      <c r="A1061" s="342" t="s">
        <v>149</v>
      </c>
      <c r="B1061" s="336">
        <v>908</v>
      </c>
      <c r="C1061" s="338" t="s">
        <v>250</v>
      </c>
      <c r="D1061" s="338" t="s">
        <v>231</v>
      </c>
      <c r="E1061" s="338" t="s">
        <v>1290</v>
      </c>
      <c r="F1061" s="338" t="s">
        <v>150</v>
      </c>
      <c r="G1061" s="343">
        <v>11</v>
      </c>
      <c r="H1061" s="343">
        <v>0</v>
      </c>
      <c r="I1061" s="343">
        <f t="shared" si="82"/>
        <v>0</v>
      </c>
      <c r="J1061" s="332"/>
    </row>
    <row r="1062" spans="1:10" s="218" customFormat="1" ht="31.5" x14ac:dyDescent="0.25">
      <c r="A1062" s="340" t="s">
        <v>950</v>
      </c>
      <c r="B1062" s="337">
        <v>908</v>
      </c>
      <c r="C1062" s="341" t="s">
        <v>250</v>
      </c>
      <c r="D1062" s="341" t="s">
        <v>231</v>
      </c>
      <c r="E1062" s="341" t="s">
        <v>1130</v>
      </c>
      <c r="F1062" s="341"/>
      <c r="G1062" s="339">
        <f>G1063+G1066</f>
        <v>1914.5</v>
      </c>
      <c r="H1062" s="339">
        <f>H1063+H1066</f>
        <v>0</v>
      </c>
      <c r="I1062" s="339">
        <f t="shared" si="82"/>
        <v>0</v>
      </c>
      <c r="J1062" s="332"/>
    </row>
    <row r="1063" spans="1:10" s="218" customFormat="1" ht="31.5" hidden="1" x14ac:dyDescent="0.25">
      <c r="A1063" s="342" t="s">
        <v>707</v>
      </c>
      <c r="B1063" s="336">
        <v>908</v>
      </c>
      <c r="C1063" s="338" t="s">
        <v>250</v>
      </c>
      <c r="D1063" s="338" t="s">
        <v>231</v>
      </c>
      <c r="E1063" s="338" t="s">
        <v>1131</v>
      </c>
      <c r="F1063" s="338"/>
      <c r="G1063" s="343">
        <f>G1064</f>
        <v>0</v>
      </c>
      <c r="H1063" s="343">
        <f>H1064</f>
        <v>0</v>
      </c>
      <c r="I1063" s="343" t="e">
        <f t="shared" si="82"/>
        <v>#DIV/0!</v>
      </c>
      <c r="J1063" s="332"/>
    </row>
    <row r="1064" spans="1:10" s="218" customFormat="1" ht="31.5" hidden="1" x14ac:dyDescent="0.25">
      <c r="A1064" s="342" t="s">
        <v>147</v>
      </c>
      <c r="B1064" s="336">
        <v>908</v>
      </c>
      <c r="C1064" s="338" t="s">
        <v>250</v>
      </c>
      <c r="D1064" s="338" t="s">
        <v>231</v>
      </c>
      <c r="E1064" s="338" t="s">
        <v>1131</v>
      </c>
      <c r="F1064" s="338" t="s">
        <v>148</v>
      </c>
      <c r="G1064" s="343">
        <f>G1065</f>
        <v>0</v>
      </c>
      <c r="H1064" s="343">
        <f>H1065</f>
        <v>0</v>
      </c>
      <c r="I1064" s="343" t="e">
        <f t="shared" si="82"/>
        <v>#DIV/0!</v>
      </c>
      <c r="J1064" s="332"/>
    </row>
    <row r="1065" spans="1:10" s="218" customFormat="1" ht="31.5" hidden="1" x14ac:dyDescent="0.25">
      <c r="A1065" s="342" t="s">
        <v>149</v>
      </c>
      <c r="B1065" s="336">
        <v>908</v>
      </c>
      <c r="C1065" s="338" t="s">
        <v>250</v>
      </c>
      <c r="D1065" s="338" t="s">
        <v>231</v>
      </c>
      <c r="E1065" s="338" t="s">
        <v>1131</v>
      </c>
      <c r="F1065" s="338" t="s">
        <v>150</v>
      </c>
      <c r="G1065" s="343">
        <v>0</v>
      </c>
      <c r="H1065" s="343">
        <v>0</v>
      </c>
      <c r="I1065" s="343" t="e">
        <f t="shared" si="82"/>
        <v>#DIV/0!</v>
      </c>
      <c r="J1065" s="332"/>
    </row>
    <row r="1066" spans="1:10" s="218" customFormat="1" ht="47.25" x14ac:dyDescent="0.25">
      <c r="A1066" s="342" t="s">
        <v>1249</v>
      </c>
      <c r="B1066" s="336">
        <v>908</v>
      </c>
      <c r="C1066" s="338" t="s">
        <v>250</v>
      </c>
      <c r="D1066" s="338" t="s">
        <v>231</v>
      </c>
      <c r="E1066" s="338" t="s">
        <v>1250</v>
      </c>
      <c r="F1066" s="338"/>
      <c r="G1066" s="343">
        <f>G1067</f>
        <v>1914.5</v>
      </c>
      <c r="H1066" s="343">
        <f>H1067</f>
        <v>0</v>
      </c>
      <c r="I1066" s="343">
        <f t="shared" si="82"/>
        <v>0</v>
      </c>
      <c r="J1066" s="332"/>
    </row>
    <row r="1067" spans="1:10" s="218" customFormat="1" ht="31.5" x14ac:dyDescent="0.25">
      <c r="A1067" s="342" t="s">
        <v>147</v>
      </c>
      <c r="B1067" s="336">
        <v>908</v>
      </c>
      <c r="C1067" s="338" t="s">
        <v>250</v>
      </c>
      <c r="D1067" s="338" t="s">
        <v>231</v>
      </c>
      <c r="E1067" s="338" t="s">
        <v>1250</v>
      </c>
      <c r="F1067" s="338" t="s">
        <v>148</v>
      </c>
      <c r="G1067" s="343">
        <f>G1068</f>
        <v>1914.5</v>
      </c>
      <c r="H1067" s="343">
        <f>H1068</f>
        <v>0</v>
      </c>
      <c r="I1067" s="343">
        <f t="shared" si="82"/>
        <v>0</v>
      </c>
      <c r="J1067" s="332"/>
    </row>
    <row r="1068" spans="1:10" s="218" customFormat="1" ht="31.5" x14ac:dyDescent="0.25">
      <c r="A1068" s="342" t="s">
        <v>149</v>
      </c>
      <c r="B1068" s="336">
        <v>908</v>
      </c>
      <c r="C1068" s="338" t="s">
        <v>250</v>
      </c>
      <c r="D1068" s="338" t="s">
        <v>231</v>
      </c>
      <c r="E1068" s="338" t="s">
        <v>1250</v>
      </c>
      <c r="F1068" s="338" t="s">
        <v>150</v>
      </c>
      <c r="G1068" s="343">
        <v>1914.5</v>
      </c>
      <c r="H1068" s="343">
        <v>0</v>
      </c>
      <c r="I1068" s="343">
        <f t="shared" si="82"/>
        <v>0</v>
      </c>
      <c r="J1068" s="332"/>
    </row>
    <row r="1069" spans="1:10" ht="52.5" customHeight="1" x14ac:dyDescent="0.25">
      <c r="A1069" s="340" t="s">
        <v>823</v>
      </c>
      <c r="B1069" s="337">
        <v>908</v>
      </c>
      <c r="C1069" s="341" t="s">
        <v>250</v>
      </c>
      <c r="D1069" s="341" t="s">
        <v>231</v>
      </c>
      <c r="E1069" s="341" t="s">
        <v>734</v>
      </c>
      <c r="F1069" s="341"/>
      <c r="G1069" s="339">
        <f t="shared" ref="G1069:H1072" si="83">G1070</f>
        <v>401</v>
      </c>
      <c r="H1069" s="339">
        <f t="shared" si="83"/>
        <v>0</v>
      </c>
      <c r="I1069" s="339">
        <f t="shared" si="82"/>
        <v>0</v>
      </c>
    </row>
    <row r="1070" spans="1:10" s="218" customFormat="1" ht="34.5" customHeight="1" x14ac:dyDescent="0.25">
      <c r="A1070" s="340" t="s">
        <v>1245</v>
      </c>
      <c r="B1070" s="337">
        <v>908</v>
      </c>
      <c r="C1070" s="341" t="s">
        <v>250</v>
      </c>
      <c r="D1070" s="341" t="s">
        <v>231</v>
      </c>
      <c r="E1070" s="341" t="s">
        <v>1288</v>
      </c>
      <c r="F1070" s="341"/>
      <c r="G1070" s="339">
        <f t="shared" si="83"/>
        <v>401</v>
      </c>
      <c r="H1070" s="339">
        <f t="shared" si="83"/>
        <v>0</v>
      </c>
      <c r="I1070" s="339">
        <f t="shared" si="82"/>
        <v>0</v>
      </c>
      <c r="J1070" s="332"/>
    </row>
    <row r="1071" spans="1:10" ht="48.75" customHeight="1" x14ac:dyDescent="0.25">
      <c r="A1071" s="80" t="s">
        <v>710</v>
      </c>
      <c r="B1071" s="336">
        <v>908</v>
      </c>
      <c r="C1071" s="338" t="s">
        <v>250</v>
      </c>
      <c r="D1071" s="338" t="s">
        <v>231</v>
      </c>
      <c r="E1071" s="338" t="s">
        <v>881</v>
      </c>
      <c r="F1071" s="338"/>
      <c r="G1071" s="343">
        <f t="shared" si="83"/>
        <v>401</v>
      </c>
      <c r="H1071" s="343">
        <f t="shared" si="83"/>
        <v>0</v>
      </c>
      <c r="I1071" s="343">
        <f t="shared" si="82"/>
        <v>0</v>
      </c>
    </row>
    <row r="1072" spans="1:10" ht="31.5" x14ac:dyDescent="0.25">
      <c r="A1072" s="342" t="s">
        <v>147</v>
      </c>
      <c r="B1072" s="336">
        <v>908</v>
      </c>
      <c r="C1072" s="338" t="s">
        <v>250</v>
      </c>
      <c r="D1072" s="338" t="s">
        <v>231</v>
      </c>
      <c r="E1072" s="338" t="s">
        <v>881</v>
      </c>
      <c r="F1072" s="338" t="s">
        <v>148</v>
      </c>
      <c r="G1072" s="343">
        <f t="shared" si="83"/>
        <v>401</v>
      </c>
      <c r="H1072" s="343">
        <f t="shared" si="83"/>
        <v>0</v>
      </c>
      <c r="I1072" s="343">
        <f t="shared" si="82"/>
        <v>0</v>
      </c>
    </row>
    <row r="1073" spans="1:10" ht="31.5" x14ac:dyDescent="0.25">
      <c r="A1073" s="342" t="s">
        <v>149</v>
      </c>
      <c r="B1073" s="336">
        <v>908</v>
      </c>
      <c r="C1073" s="338" t="s">
        <v>250</v>
      </c>
      <c r="D1073" s="338" t="s">
        <v>231</v>
      </c>
      <c r="E1073" s="338" t="s">
        <v>881</v>
      </c>
      <c r="F1073" s="338" t="s">
        <v>150</v>
      </c>
      <c r="G1073" s="343">
        <f>500-99</f>
        <v>401</v>
      </c>
      <c r="H1073" s="343">
        <v>0</v>
      </c>
      <c r="I1073" s="343">
        <f t="shared" si="82"/>
        <v>0</v>
      </c>
    </row>
    <row r="1074" spans="1:10" ht="31.5" x14ac:dyDescent="0.25">
      <c r="A1074" s="340" t="s">
        <v>585</v>
      </c>
      <c r="B1074" s="337">
        <v>908</v>
      </c>
      <c r="C1074" s="341" t="s">
        <v>250</v>
      </c>
      <c r="D1074" s="341" t="s">
        <v>250</v>
      </c>
      <c r="E1074" s="341"/>
      <c r="F1074" s="341"/>
      <c r="G1074" s="339">
        <f>G1075+G1087+G1106</f>
        <v>24154.5</v>
      </c>
      <c r="H1074" s="339">
        <f>H1075+H1087+H1106</f>
        <v>11616.330000000002</v>
      </c>
      <c r="I1074" s="339">
        <f t="shared" si="82"/>
        <v>48.091784139601323</v>
      </c>
    </row>
    <row r="1075" spans="1:10" ht="31.5" x14ac:dyDescent="0.25">
      <c r="A1075" s="340" t="s">
        <v>990</v>
      </c>
      <c r="B1075" s="337">
        <v>908</v>
      </c>
      <c r="C1075" s="341" t="s">
        <v>250</v>
      </c>
      <c r="D1075" s="341" t="s">
        <v>250</v>
      </c>
      <c r="E1075" s="341" t="s">
        <v>904</v>
      </c>
      <c r="F1075" s="341"/>
      <c r="G1075" s="339">
        <f>G1076</f>
        <v>12402.5</v>
      </c>
      <c r="H1075" s="339">
        <f>H1076</f>
        <v>5474.6600000000008</v>
      </c>
      <c r="I1075" s="339">
        <f t="shared" si="82"/>
        <v>44.14158435799235</v>
      </c>
    </row>
    <row r="1076" spans="1:10" ht="15.75" x14ac:dyDescent="0.25">
      <c r="A1076" s="340" t="s">
        <v>991</v>
      </c>
      <c r="B1076" s="337">
        <v>908</v>
      </c>
      <c r="C1076" s="341" t="s">
        <v>250</v>
      </c>
      <c r="D1076" s="341" t="s">
        <v>250</v>
      </c>
      <c r="E1076" s="341" t="s">
        <v>905</v>
      </c>
      <c r="F1076" s="341"/>
      <c r="G1076" s="339">
        <f>G1077+G1084</f>
        <v>12402.5</v>
      </c>
      <c r="H1076" s="339">
        <f>H1077+H1084</f>
        <v>5474.6600000000008</v>
      </c>
      <c r="I1076" s="339">
        <f t="shared" si="82"/>
        <v>44.14158435799235</v>
      </c>
    </row>
    <row r="1077" spans="1:10" ht="31.5" x14ac:dyDescent="0.25">
      <c r="A1077" s="342" t="s">
        <v>967</v>
      </c>
      <c r="B1077" s="336">
        <v>908</v>
      </c>
      <c r="C1077" s="338" t="s">
        <v>250</v>
      </c>
      <c r="D1077" s="338" t="s">
        <v>250</v>
      </c>
      <c r="E1077" s="338" t="s">
        <v>906</v>
      </c>
      <c r="F1077" s="338"/>
      <c r="G1077" s="343">
        <f>G1078+G1082+G1080</f>
        <v>11761.5</v>
      </c>
      <c r="H1077" s="343">
        <f>H1078+H1082+H1080</f>
        <v>4833.7800000000007</v>
      </c>
      <c r="I1077" s="343">
        <f t="shared" si="82"/>
        <v>41.098329294732821</v>
      </c>
    </row>
    <row r="1078" spans="1:10" ht="60.75" customHeight="1" x14ac:dyDescent="0.25">
      <c r="A1078" s="342" t="s">
        <v>143</v>
      </c>
      <c r="B1078" s="336">
        <v>908</v>
      </c>
      <c r="C1078" s="338" t="s">
        <v>250</v>
      </c>
      <c r="D1078" s="338" t="s">
        <v>250</v>
      </c>
      <c r="E1078" s="338" t="s">
        <v>906</v>
      </c>
      <c r="F1078" s="338" t="s">
        <v>144</v>
      </c>
      <c r="G1078" s="343">
        <f>G1079</f>
        <v>11689.5</v>
      </c>
      <c r="H1078" s="343">
        <f>H1079</f>
        <v>4814.68</v>
      </c>
      <c r="I1078" s="343">
        <f t="shared" si="82"/>
        <v>41.188074767954149</v>
      </c>
    </row>
    <row r="1079" spans="1:10" ht="31.5" x14ac:dyDescent="0.25">
      <c r="A1079" s="342" t="s">
        <v>145</v>
      </c>
      <c r="B1079" s="336">
        <v>908</v>
      </c>
      <c r="C1079" s="338" t="s">
        <v>250</v>
      </c>
      <c r="D1079" s="338" t="s">
        <v>250</v>
      </c>
      <c r="E1079" s="338" t="s">
        <v>906</v>
      </c>
      <c r="F1079" s="338" t="s">
        <v>146</v>
      </c>
      <c r="G1079" s="344">
        <f>11138+566-27+12.5</f>
        <v>11689.5</v>
      </c>
      <c r="H1079" s="344">
        <v>4814.68</v>
      </c>
      <c r="I1079" s="343">
        <f t="shared" si="82"/>
        <v>41.188074767954149</v>
      </c>
    </row>
    <row r="1080" spans="1:10" ht="31.5" x14ac:dyDescent="0.25">
      <c r="A1080" s="342" t="s">
        <v>147</v>
      </c>
      <c r="B1080" s="336">
        <v>908</v>
      </c>
      <c r="C1080" s="338" t="s">
        <v>250</v>
      </c>
      <c r="D1080" s="338" t="s">
        <v>250</v>
      </c>
      <c r="E1080" s="338" t="s">
        <v>906</v>
      </c>
      <c r="F1080" s="338" t="s">
        <v>148</v>
      </c>
      <c r="G1080" s="343">
        <f>G1081</f>
        <v>25</v>
      </c>
      <c r="H1080" s="343">
        <f>H1081</f>
        <v>0</v>
      </c>
      <c r="I1080" s="343">
        <f t="shared" si="82"/>
        <v>0</v>
      </c>
    </row>
    <row r="1081" spans="1:10" ht="36.75" customHeight="1" x14ac:dyDescent="0.25">
      <c r="A1081" s="342" t="s">
        <v>149</v>
      </c>
      <c r="B1081" s="336">
        <v>908</v>
      </c>
      <c r="C1081" s="338" t="s">
        <v>250</v>
      </c>
      <c r="D1081" s="338" t="s">
        <v>250</v>
      </c>
      <c r="E1081" s="338" t="s">
        <v>906</v>
      </c>
      <c r="F1081" s="338" t="s">
        <v>150</v>
      </c>
      <c r="G1081" s="344">
        <v>25</v>
      </c>
      <c r="H1081" s="344">
        <v>0</v>
      </c>
      <c r="I1081" s="343">
        <f t="shared" si="82"/>
        <v>0</v>
      </c>
    </row>
    <row r="1082" spans="1:10" ht="15.75" x14ac:dyDescent="0.25">
      <c r="A1082" s="342" t="s">
        <v>151</v>
      </c>
      <c r="B1082" s="336">
        <v>908</v>
      </c>
      <c r="C1082" s="338" t="s">
        <v>250</v>
      </c>
      <c r="D1082" s="338" t="s">
        <v>250</v>
      </c>
      <c r="E1082" s="338" t="s">
        <v>906</v>
      </c>
      <c r="F1082" s="338" t="s">
        <v>161</v>
      </c>
      <c r="G1082" s="343">
        <f>G1083</f>
        <v>47</v>
      </c>
      <c r="H1082" s="343">
        <f>H1083</f>
        <v>19.100000000000001</v>
      </c>
      <c r="I1082" s="343">
        <f t="shared" si="82"/>
        <v>40.638297872340431</v>
      </c>
    </row>
    <row r="1083" spans="1:10" ht="15.75" x14ac:dyDescent="0.25">
      <c r="A1083" s="342" t="s">
        <v>584</v>
      </c>
      <c r="B1083" s="336">
        <v>908</v>
      </c>
      <c r="C1083" s="338" t="s">
        <v>250</v>
      </c>
      <c r="D1083" s="338" t="s">
        <v>250</v>
      </c>
      <c r="E1083" s="338" t="s">
        <v>906</v>
      </c>
      <c r="F1083" s="338" t="s">
        <v>154</v>
      </c>
      <c r="G1083" s="343">
        <v>47</v>
      </c>
      <c r="H1083" s="343">
        <v>19.100000000000001</v>
      </c>
      <c r="I1083" s="343">
        <f t="shared" si="82"/>
        <v>40.638297872340431</v>
      </c>
    </row>
    <row r="1084" spans="1:10" s="218" customFormat="1" ht="31.5" x14ac:dyDescent="0.25">
      <c r="A1084" s="342" t="s">
        <v>885</v>
      </c>
      <c r="B1084" s="336">
        <v>908</v>
      </c>
      <c r="C1084" s="338" t="s">
        <v>250</v>
      </c>
      <c r="D1084" s="338" t="s">
        <v>250</v>
      </c>
      <c r="E1084" s="338" t="s">
        <v>908</v>
      </c>
      <c r="F1084" s="338"/>
      <c r="G1084" s="343">
        <f>G1085</f>
        <v>641</v>
      </c>
      <c r="H1084" s="343">
        <f>H1085</f>
        <v>640.88</v>
      </c>
      <c r="I1084" s="343">
        <f t="shared" si="82"/>
        <v>99.981279251170037</v>
      </c>
      <c r="J1084" s="332"/>
    </row>
    <row r="1085" spans="1:10" s="218" customFormat="1" ht="63" x14ac:dyDescent="0.25">
      <c r="A1085" s="342" t="s">
        <v>143</v>
      </c>
      <c r="B1085" s="336">
        <v>908</v>
      </c>
      <c r="C1085" s="338" t="s">
        <v>250</v>
      </c>
      <c r="D1085" s="338" t="s">
        <v>250</v>
      </c>
      <c r="E1085" s="338" t="s">
        <v>908</v>
      </c>
      <c r="F1085" s="338" t="s">
        <v>144</v>
      </c>
      <c r="G1085" s="343">
        <f>G1086</f>
        <v>641</v>
      </c>
      <c r="H1085" s="343">
        <f>H1086</f>
        <v>640.88</v>
      </c>
      <c r="I1085" s="343">
        <f t="shared" si="82"/>
        <v>99.981279251170037</v>
      </c>
      <c r="J1085" s="332"/>
    </row>
    <row r="1086" spans="1:10" s="218" customFormat="1" ht="31.5" x14ac:dyDescent="0.25">
      <c r="A1086" s="342" t="s">
        <v>145</v>
      </c>
      <c r="B1086" s="336">
        <v>908</v>
      </c>
      <c r="C1086" s="338" t="s">
        <v>250</v>
      </c>
      <c r="D1086" s="338" t="s">
        <v>250</v>
      </c>
      <c r="E1086" s="338" t="s">
        <v>908</v>
      </c>
      <c r="F1086" s="338" t="s">
        <v>146</v>
      </c>
      <c r="G1086" s="343">
        <f>336+27+278</f>
        <v>641</v>
      </c>
      <c r="H1086" s="343">
        <v>640.88</v>
      </c>
      <c r="I1086" s="343">
        <f t="shared" si="82"/>
        <v>99.981279251170037</v>
      </c>
      <c r="J1086" s="332"/>
    </row>
    <row r="1087" spans="1:10" ht="15.75" x14ac:dyDescent="0.25">
      <c r="A1087" s="340" t="s">
        <v>157</v>
      </c>
      <c r="B1087" s="337">
        <v>908</v>
      </c>
      <c r="C1087" s="341" t="s">
        <v>250</v>
      </c>
      <c r="D1087" s="341" t="s">
        <v>250</v>
      </c>
      <c r="E1087" s="341" t="s">
        <v>912</v>
      </c>
      <c r="F1087" s="341"/>
      <c r="G1087" s="339">
        <f>G1088+G1097</f>
        <v>11695</v>
      </c>
      <c r="H1087" s="339">
        <f>H1088+H1097</f>
        <v>6141.67</v>
      </c>
      <c r="I1087" s="339">
        <f t="shared" si="82"/>
        <v>52.515348439504059</v>
      </c>
    </row>
    <row r="1088" spans="1:10" s="218" customFormat="1" ht="31.5" x14ac:dyDescent="0.25">
      <c r="A1088" s="340" t="s">
        <v>916</v>
      </c>
      <c r="B1088" s="337">
        <v>908</v>
      </c>
      <c r="C1088" s="341" t="s">
        <v>250</v>
      </c>
      <c r="D1088" s="341" t="s">
        <v>250</v>
      </c>
      <c r="E1088" s="341" t="s">
        <v>911</v>
      </c>
      <c r="F1088" s="341"/>
      <c r="G1088" s="339">
        <f>G1089+G1094</f>
        <v>1462</v>
      </c>
      <c r="H1088" s="339">
        <f>H1089+H1094</f>
        <v>949.94</v>
      </c>
      <c r="I1088" s="339">
        <f t="shared" si="82"/>
        <v>64.975376196990425</v>
      </c>
      <c r="J1088" s="332"/>
    </row>
    <row r="1089" spans="1:11" ht="31.5" x14ac:dyDescent="0.25">
      <c r="A1089" s="342" t="s">
        <v>586</v>
      </c>
      <c r="B1089" s="336">
        <v>908</v>
      </c>
      <c r="C1089" s="338" t="s">
        <v>250</v>
      </c>
      <c r="D1089" s="338" t="s">
        <v>250</v>
      </c>
      <c r="E1089" s="338" t="s">
        <v>1132</v>
      </c>
      <c r="F1089" s="338"/>
      <c r="G1089" s="344">
        <f>G1092+G1090</f>
        <v>1462</v>
      </c>
      <c r="H1089" s="344">
        <f>H1092+H1090</f>
        <v>949.94</v>
      </c>
      <c r="I1089" s="343">
        <f t="shared" si="82"/>
        <v>64.975376196990425</v>
      </c>
    </row>
    <row r="1090" spans="1:11" s="218" customFormat="1" ht="31.5" x14ac:dyDescent="0.25">
      <c r="A1090" s="342" t="s">
        <v>147</v>
      </c>
      <c r="B1090" s="336">
        <v>908</v>
      </c>
      <c r="C1090" s="338" t="s">
        <v>250</v>
      </c>
      <c r="D1090" s="338" t="s">
        <v>250</v>
      </c>
      <c r="E1090" s="338" t="s">
        <v>1132</v>
      </c>
      <c r="F1090" s="338" t="s">
        <v>148</v>
      </c>
      <c r="G1090" s="344">
        <f>G1091</f>
        <v>480</v>
      </c>
      <c r="H1090" s="344">
        <f>H1091</f>
        <v>144</v>
      </c>
      <c r="I1090" s="343">
        <f t="shared" si="82"/>
        <v>30</v>
      </c>
      <c r="J1090" s="332"/>
    </row>
    <row r="1091" spans="1:11" s="218" customFormat="1" ht="31.5" x14ac:dyDescent="0.25">
      <c r="A1091" s="342" t="s">
        <v>149</v>
      </c>
      <c r="B1091" s="336">
        <v>908</v>
      </c>
      <c r="C1091" s="338" t="s">
        <v>250</v>
      </c>
      <c r="D1091" s="338" t="s">
        <v>250</v>
      </c>
      <c r="E1091" s="338" t="s">
        <v>1132</v>
      </c>
      <c r="F1091" s="338" t="s">
        <v>150</v>
      </c>
      <c r="G1091" s="344">
        <v>480</v>
      </c>
      <c r="H1091" s="344">
        <v>144</v>
      </c>
      <c r="I1091" s="343">
        <f t="shared" si="82"/>
        <v>30</v>
      </c>
      <c r="J1091" s="332"/>
    </row>
    <row r="1092" spans="1:11" ht="15.75" x14ac:dyDescent="0.25">
      <c r="A1092" s="342" t="s">
        <v>151</v>
      </c>
      <c r="B1092" s="336">
        <v>908</v>
      </c>
      <c r="C1092" s="338" t="s">
        <v>250</v>
      </c>
      <c r="D1092" s="338" t="s">
        <v>250</v>
      </c>
      <c r="E1092" s="338" t="s">
        <v>1132</v>
      </c>
      <c r="F1092" s="338" t="s">
        <v>161</v>
      </c>
      <c r="G1092" s="344">
        <f>G1093</f>
        <v>982</v>
      </c>
      <c r="H1092" s="344">
        <f>H1093</f>
        <v>805.94</v>
      </c>
      <c r="I1092" s="343">
        <f t="shared" si="82"/>
        <v>82.071283095723018</v>
      </c>
    </row>
    <row r="1093" spans="1:11" ht="47.25" customHeight="1" x14ac:dyDescent="0.25">
      <c r="A1093" s="342" t="s">
        <v>200</v>
      </c>
      <c r="B1093" s="336">
        <v>908</v>
      </c>
      <c r="C1093" s="338" t="s">
        <v>250</v>
      </c>
      <c r="D1093" s="338" t="s">
        <v>250</v>
      </c>
      <c r="E1093" s="338" t="s">
        <v>1132</v>
      </c>
      <c r="F1093" s="338" t="s">
        <v>176</v>
      </c>
      <c r="G1093" s="344">
        <v>982</v>
      </c>
      <c r="H1093" s="344">
        <v>805.94</v>
      </c>
      <c r="I1093" s="343">
        <f t="shared" si="82"/>
        <v>82.071283095723018</v>
      </c>
    </row>
    <row r="1094" spans="1:11" s="218" customFormat="1" ht="37.5" hidden="1" customHeight="1" x14ac:dyDescent="0.25">
      <c r="A1094" s="342" t="s">
        <v>868</v>
      </c>
      <c r="B1094" s="336">
        <v>908</v>
      </c>
      <c r="C1094" s="338" t="s">
        <v>250</v>
      </c>
      <c r="D1094" s="338" t="s">
        <v>250</v>
      </c>
      <c r="E1094" s="338" t="s">
        <v>1251</v>
      </c>
      <c r="F1094" s="338"/>
      <c r="G1094" s="344">
        <f>G1095</f>
        <v>0</v>
      </c>
      <c r="H1094" s="344">
        <f>H1095</f>
        <v>0</v>
      </c>
      <c r="I1094" s="343" t="e">
        <f t="shared" si="82"/>
        <v>#DIV/0!</v>
      </c>
      <c r="J1094" s="332"/>
    </row>
    <row r="1095" spans="1:11" s="218" customFormat="1" ht="21.75" hidden="1" customHeight="1" x14ac:dyDescent="0.25">
      <c r="A1095" s="342" t="s">
        <v>151</v>
      </c>
      <c r="B1095" s="336">
        <v>908</v>
      </c>
      <c r="C1095" s="338" t="s">
        <v>250</v>
      </c>
      <c r="D1095" s="338" t="s">
        <v>250</v>
      </c>
      <c r="E1095" s="338" t="s">
        <v>1251</v>
      </c>
      <c r="F1095" s="338" t="s">
        <v>161</v>
      </c>
      <c r="G1095" s="344">
        <f>G1096</f>
        <v>0</v>
      </c>
      <c r="H1095" s="344">
        <f>H1096</f>
        <v>0</v>
      </c>
      <c r="I1095" s="343" t="e">
        <f t="shared" si="82"/>
        <v>#DIV/0!</v>
      </c>
      <c r="J1095" s="332"/>
    </row>
    <row r="1096" spans="1:11" s="218" customFormat="1" ht="47.25" hidden="1" customHeight="1" x14ac:dyDescent="0.25">
      <c r="A1096" s="342" t="s">
        <v>200</v>
      </c>
      <c r="B1096" s="336">
        <v>908</v>
      </c>
      <c r="C1096" s="338" t="s">
        <v>250</v>
      </c>
      <c r="D1096" s="338" t="s">
        <v>250</v>
      </c>
      <c r="E1096" s="338" t="s">
        <v>1251</v>
      </c>
      <c r="F1096" s="338" t="s">
        <v>176</v>
      </c>
      <c r="G1096" s="344">
        <v>0</v>
      </c>
      <c r="H1096" s="344">
        <v>0</v>
      </c>
      <c r="I1096" s="343" t="e">
        <f t="shared" si="82"/>
        <v>#DIV/0!</v>
      </c>
      <c r="J1096" s="332"/>
    </row>
    <row r="1097" spans="1:11" s="218" customFormat="1" ht="36.75" customHeight="1" x14ac:dyDescent="0.25">
      <c r="A1097" s="340" t="s">
        <v>1002</v>
      </c>
      <c r="B1097" s="337">
        <v>908</v>
      </c>
      <c r="C1097" s="341" t="s">
        <v>250</v>
      </c>
      <c r="D1097" s="341" t="s">
        <v>250</v>
      </c>
      <c r="E1097" s="341" t="s">
        <v>987</v>
      </c>
      <c r="F1097" s="341"/>
      <c r="G1097" s="44">
        <f>G1098+G1103</f>
        <v>10233</v>
      </c>
      <c r="H1097" s="44">
        <f>H1098+H1103</f>
        <v>5191.7299999999996</v>
      </c>
      <c r="I1097" s="339">
        <f t="shared" si="82"/>
        <v>50.735170526727245</v>
      </c>
      <c r="J1097" s="332"/>
    </row>
    <row r="1098" spans="1:11" ht="31.5" x14ac:dyDescent="0.25">
      <c r="A1098" s="342" t="s">
        <v>974</v>
      </c>
      <c r="B1098" s="336">
        <v>908</v>
      </c>
      <c r="C1098" s="338" t="s">
        <v>250</v>
      </c>
      <c r="D1098" s="338" t="s">
        <v>250</v>
      </c>
      <c r="E1098" s="338" t="s">
        <v>988</v>
      </c>
      <c r="F1098" s="338"/>
      <c r="G1098" s="343">
        <f>G1099+G1101</f>
        <v>10107</v>
      </c>
      <c r="H1098" s="343">
        <f>H1099+H1101</f>
        <v>5065.7299999999996</v>
      </c>
      <c r="I1098" s="343">
        <f t="shared" si="82"/>
        <v>50.121005243890373</v>
      </c>
    </row>
    <row r="1099" spans="1:11" ht="69.75" customHeight="1" x14ac:dyDescent="0.25">
      <c r="A1099" s="342" t="s">
        <v>143</v>
      </c>
      <c r="B1099" s="336">
        <v>908</v>
      </c>
      <c r="C1099" s="338" t="s">
        <v>250</v>
      </c>
      <c r="D1099" s="338" t="s">
        <v>250</v>
      </c>
      <c r="E1099" s="338" t="s">
        <v>988</v>
      </c>
      <c r="F1099" s="338" t="s">
        <v>144</v>
      </c>
      <c r="G1099" s="343">
        <f>G1100</f>
        <v>8484.1</v>
      </c>
      <c r="H1099" s="343">
        <f>H1100</f>
        <v>4273.49</v>
      </c>
      <c r="I1099" s="343">
        <f t="shared" ref="I1099:I1162" si="84">H1099/G1099*100</f>
        <v>50.370575547200048</v>
      </c>
    </row>
    <row r="1100" spans="1:11" ht="29.25" customHeight="1" x14ac:dyDescent="0.25">
      <c r="A1100" s="342" t="s">
        <v>358</v>
      </c>
      <c r="B1100" s="336">
        <v>908</v>
      </c>
      <c r="C1100" s="338" t="s">
        <v>250</v>
      </c>
      <c r="D1100" s="338" t="s">
        <v>250</v>
      </c>
      <c r="E1100" s="338" t="s">
        <v>988</v>
      </c>
      <c r="F1100" s="338" t="s">
        <v>225</v>
      </c>
      <c r="G1100" s="344">
        <f>8047+115.5+13.1-162.5-7.8+478.8</f>
        <v>8484.1</v>
      </c>
      <c r="H1100" s="344">
        <v>4273.49</v>
      </c>
      <c r="I1100" s="343">
        <f t="shared" si="84"/>
        <v>50.370575547200048</v>
      </c>
      <c r="K1100" s="352"/>
    </row>
    <row r="1101" spans="1:11" ht="31.5" x14ac:dyDescent="0.25">
      <c r="A1101" s="342" t="s">
        <v>147</v>
      </c>
      <c r="B1101" s="336">
        <v>908</v>
      </c>
      <c r="C1101" s="338" t="s">
        <v>250</v>
      </c>
      <c r="D1101" s="338" t="s">
        <v>250</v>
      </c>
      <c r="E1101" s="338" t="s">
        <v>988</v>
      </c>
      <c r="F1101" s="338" t="s">
        <v>148</v>
      </c>
      <c r="G1101" s="343">
        <f>G1102</f>
        <v>1622.9</v>
      </c>
      <c r="H1101" s="343">
        <f>H1102</f>
        <v>792.24</v>
      </c>
      <c r="I1101" s="343">
        <f t="shared" si="84"/>
        <v>48.816316470515744</v>
      </c>
    </row>
    <row r="1102" spans="1:11" ht="31.5" x14ac:dyDescent="0.25">
      <c r="A1102" s="342" t="s">
        <v>149</v>
      </c>
      <c r="B1102" s="336">
        <v>908</v>
      </c>
      <c r="C1102" s="338" t="s">
        <v>250</v>
      </c>
      <c r="D1102" s="338" t="s">
        <v>250</v>
      </c>
      <c r="E1102" s="338" t="s">
        <v>988</v>
      </c>
      <c r="F1102" s="338" t="s">
        <v>150</v>
      </c>
      <c r="G1102" s="344">
        <f>1312+280.9+150-120</f>
        <v>1622.9</v>
      </c>
      <c r="H1102" s="344">
        <v>792.24</v>
      </c>
      <c r="I1102" s="343">
        <f t="shared" si="84"/>
        <v>48.816316470515744</v>
      </c>
    </row>
    <row r="1103" spans="1:11" s="218" customFormat="1" ht="31.5" x14ac:dyDescent="0.25">
      <c r="A1103" s="342" t="s">
        <v>885</v>
      </c>
      <c r="B1103" s="336">
        <v>908</v>
      </c>
      <c r="C1103" s="338" t="s">
        <v>250</v>
      </c>
      <c r="D1103" s="338" t="s">
        <v>250</v>
      </c>
      <c r="E1103" s="338" t="s">
        <v>989</v>
      </c>
      <c r="F1103" s="338"/>
      <c r="G1103" s="343">
        <f>G1104</f>
        <v>126</v>
      </c>
      <c r="H1103" s="343">
        <f>H1104</f>
        <v>126</v>
      </c>
      <c r="I1103" s="343">
        <f t="shared" si="84"/>
        <v>100</v>
      </c>
      <c r="J1103" s="332"/>
    </row>
    <row r="1104" spans="1:11" s="218" customFormat="1" ht="63" x14ac:dyDescent="0.25">
      <c r="A1104" s="342" t="s">
        <v>143</v>
      </c>
      <c r="B1104" s="336">
        <v>908</v>
      </c>
      <c r="C1104" s="338" t="s">
        <v>250</v>
      </c>
      <c r="D1104" s="338" t="s">
        <v>250</v>
      </c>
      <c r="E1104" s="338" t="s">
        <v>989</v>
      </c>
      <c r="F1104" s="338" t="s">
        <v>144</v>
      </c>
      <c r="G1104" s="343">
        <f>G1105</f>
        <v>126</v>
      </c>
      <c r="H1104" s="343">
        <f>H1105</f>
        <v>126</v>
      </c>
      <c r="I1104" s="343">
        <f t="shared" si="84"/>
        <v>100</v>
      </c>
      <c r="J1104" s="332"/>
    </row>
    <row r="1105" spans="1:10" s="218" customFormat="1" ht="15.75" x14ac:dyDescent="0.25">
      <c r="A1105" s="342" t="s">
        <v>358</v>
      </c>
      <c r="B1105" s="336">
        <v>908</v>
      </c>
      <c r="C1105" s="338" t="s">
        <v>250</v>
      </c>
      <c r="D1105" s="338" t="s">
        <v>250</v>
      </c>
      <c r="E1105" s="338" t="s">
        <v>989</v>
      </c>
      <c r="F1105" s="338" t="s">
        <v>225</v>
      </c>
      <c r="G1105" s="343">
        <f>420-13.1-280.9</f>
        <v>126</v>
      </c>
      <c r="H1105" s="343">
        <v>126</v>
      </c>
      <c r="I1105" s="343">
        <f t="shared" si="84"/>
        <v>100</v>
      </c>
      <c r="J1105" s="332"/>
    </row>
    <row r="1106" spans="1:10" s="218" customFormat="1" ht="47.25" x14ac:dyDescent="0.25">
      <c r="A1106" s="34" t="s">
        <v>805</v>
      </c>
      <c r="B1106" s="337">
        <v>908</v>
      </c>
      <c r="C1106" s="341" t="s">
        <v>250</v>
      </c>
      <c r="D1106" s="341" t="s">
        <v>250</v>
      </c>
      <c r="E1106" s="341" t="s">
        <v>340</v>
      </c>
      <c r="F1106" s="341"/>
      <c r="G1106" s="339">
        <f t="shared" ref="G1106:H1109" si="85">G1107</f>
        <v>57</v>
      </c>
      <c r="H1106" s="339">
        <f t="shared" si="85"/>
        <v>0</v>
      </c>
      <c r="I1106" s="339">
        <f t="shared" si="84"/>
        <v>0</v>
      </c>
      <c r="J1106" s="332"/>
    </row>
    <row r="1107" spans="1:10" s="218" customFormat="1" ht="47.25" x14ac:dyDescent="0.25">
      <c r="A1107" s="34" t="s">
        <v>1162</v>
      </c>
      <c r="B1107" s="337">
        <v>908</v>
      </c>
      <c r="C1107" s="341" t="s">
        <v>250</v>
      </c>
      <c r="D1107" s="341" t="s">
        <v>250</v>
      </c>
      <c r="E1107" s="341" t="s">
        <v>1025</v>
      </c>
      <c r="F1107" s="341"/>
      <c r="G1107" s="339">
        <f t="shared" si="85"/>
        <v>57</v>
      </c>
      <c r="H1107" s="339">
        <f t="shared" si="85"/>
        <v>0</v>
      </c>
      <c r="I1107" s="339">
        <f t="shared" si="84"/>
        <v>0</v>
      </c>
      <c r="J1107" s="332"/>
    </row>
    <row r="1108" spans="1:10" s="218" customFormat="1" ht="47.25" x14ac:dyDescent="0.25">
      <c r="A1108" s="31" t="s">
        <v>1273</v>
      </c>
      <c r="B1108" s="336">
        <v>908</v>
      </c>
      <c r="C1108" s="338" t="s">
        <v>250</v>
      </c>
      <c r="D1108" s="338" t="s">
        <v>250</v>
      </c>
      <c r="E1108" s="338" t="s">
        <v>1192</v>
      </c>
      <c r="F1108" s="338"/>
      <c r="G1108" s="343">
        <f t="shared" si="85"/>
        <v>57</v>
      </c>
      <c r="H1108" s="343">
        <f t="shared" si="85"/>
        <v>0</v>
      </c>
      <c r="I1108" s="343">
        <f t="shared" si="84"/>
        <v>0</v>
      </c>
      <c r="J1108" s="332"/>
    </row>
    <row r="1109" spans="1:10" s="218" customFormat="1" ht="31.5" x14ac:dyDescent="0.25">
      <c r="A1109" s="342" t="s">
        <v>147</v>
      </c>
      <c r="B1109" s="336">
        <v>908</v>
      </c>
      <c r="C1109" s="338" t="s">
        <v>250</v>
      </c>
      <c r="D1109" s="338" t="s">
        <v>250</v>
      </c>
      <c r="E1109" s="338" t="s">
        <v>1192</v>
      </c>
      <c r="F1109" s="338" t="s">
        <v>148</v>
      </c>
      <c r="G1109" s="343">
        <f t="shared" si="85"/>
        <v>57</v>
      </c>
      <c r="H1109" s="343">
        <f t="shared" si="85"/>
        <v>0</v>
      </c>
      <c r="I1109" s="343">
        <f t="shared" si="84"/>
        <v>0</v>
      </c>
      <c r="J1109" s="332"/>
    </row>
    <row r="1110" spans="1:10" s="218" customFormat="1" ht="31.5" x14ac:dyDescent="0.25">
      <c r="A1110" s="342" t="s">
        <v>149</v>
      </c>
      <c r="B1110" s="336">
        <v>908</v>
      </c>
      <c r="C1110" s="338" t="s">
        <v>250</v>
      </c>
      <c r="D1110" s="338" t="s">
        <v>250</v>
      </c>
      <c r="E1110" s="338" t="s">
        <v>1192</v>
      </c>
      <c r="F1110" s="338" t="s">
        <v>150</v>
      </c>
      <c r="G1110" s="343">
        <v>57</v>
      </c>
      <c r="H1110" s="343">
        <v>0</v>
      </c>
      <c r="I1110" s="343">
        <f t="shared" si="84"/>
        <v>0</v>
      </c>
      <c r="J1110" s="332"/>
    </row>
    <row r="1111" spans="1:10" ht="15.75" x14ac:dyDescent="0.25">
      <c r="A1111" s="340" t="s">
        <v>259</v>
      </c>
      <c r="B1111" s="337">
        <v>908</v>
      </c>
      <c r="C1111" s="341" t="s">
        <v>260</v>
      </c>
      <c r="D1111" s="341"/>
      <c r="E1111" s="341"/>
      <c r="F1111" s="341"/>
      <c r="G1111" s="339">
        <f t="shared" ref="G1111:H1112" si="86">G1112</f>
        <v>114.6</v>
      </c>
      <c r="H1111" s="339">
        <f t="shared" si="86"/>
        <v>0</v>
      </c>
      <c r="I1111" s="339">
        <f t="shared" si="84"/>
        <v>0</v>
      </c>
    </row>
    <row r="1112" spans="1:10" ht="15.75" x14ac:dyDescent="0.25">
      <c r="A1112" s="340" t="s">
        <v>274</v>
      </c>
      <c r="B1112" s="337">
        <v>908</v>
      </c>
      <c r="C1112" s="341" t="s">
        <v>260</v>
      </c>
      <c r="D1112" s="341" t="s">
        <v>136</v>
      </c>
      <c r="E1112" s="341"/>
      <c r="F1112" s="341"/>
      <c r="G1112" s="339">
        <f t="shared" si="86"/>
        <v>114.6</v>
      </c>
      <c r="H1112" s="339">
        <f t="shared" si="86"/>
        <v>0</v>
      </c>
      <c r="I1112" s="339">
        <f t="shared" si="84"/>
        <v>0</v>
      </c>
    </row>
    <row r="1113" spans="1:10" ht="15.75" x14ac:dyDescent="0.25">
      <c r="A1113" s="340" t="s">
        <v>157</v>
      </c>
      <c r="B1113" s="337">
        <v>908</v>
      </c>
      <c r="C1113" s="341" t="s">
        <v>260</v>
      </c>
      <c r="D1113" s="341" t="s">
        <v>136</v>
      </c>
      <c r="E1113" s="341" t="s">
        <v>912</v>
      </c>
      <c r="F1113" s="341"/>
      <c r="G1113" s="339">
        <f t="shared" ref="G1113:H1117" si="87">G1114</f>
        <v>114.6</v>
      </c>
      <c r="H1113" s="339">
        <f t="shared" si="87"/>
        <v>0</v>
      </c>
      <c r="I1113" s="339">
        <f t="shared" si="84"/>
        <v>0</v>
      </c>
    </row>
    <row r="1114" spans="1:10" ht="15.75" hidden="1" x14ac:dyDescent="0.25">
      <c r="A1114" s="340" t="s">
        <v>157</v>
      </c>
      <c r="B1114" s="337">
        <v>908</v>
      </c>
      <c r="C1114" s="341" t="s">
        <v>260</v>
      </c>
      <c r="D1114" s="341" t="s">
        <v>136</v>
      </c>
      <c r="E1114" s="341" t="s">
        <v>911</v>
      </c>
      <c r="F1114" s="341"/>
      <c r="G1114" s="339">
        <f t="shared" si="87"/>
        <v>114.6</v>
      </c>
      <c r="H1114" s="339">
        <f t="shared" si="87"/>
        <v>0</v>
      </c>
      <c r="I1114" s="339">
        <f t="shared" si="84"/>
        <v>0</v>
      </c>
    </row>
    <row r="1115" spans="1:10" ht="31.5" x14ac:dyDescent="0.25">
      <c r="A1115" s="340" t="s">
        <v>916</v>
      </c>
      <c r="B1115" s="337">
        <v>908</v>
      </c>
      <c r="C1115" s="341" t="s">
        <v>260</v>
      </c>
      <c r="D1115" s="341" t="s">
        <v>136</v>
      </c>
      <c r="E1115" s="341" t="s">
        <v>911</v>
      </c>
      <c r="F1115" s="341"/>
      <c r="G1115" s="339">
        <f t="shared" si="87"/>
        <v>114.6</v>
      </c>
      <c r="H1115" s="339">
        <f t="shared" si="87"/>
        <v>0</v>
      </c>
      <c r="I1115" s="339">
        <f t="shared" si="84"/>
        <v>0</v>
      </c>
    </row>
    <row r="1116" spans="1:10" ht="15.75" x14ac:dyDescent="0.25">
      <c r="A1116" s="342" t="s">
        <v>588</v>
      </c>
      <c r="B1116" s="336">
        <v>908</v>
      </c>
      <c r="C1116" s="338" t="s">
        <v>260</v>
      </c>
      <c r="D1116" s="338" t="s">
        <v>136</v>
      </c>
      <c r="E1116" s="338" t="s">
        <v>1133</v>
      </c>
      <c r="F1116" s="338"/>
      <c r="G1116" s="343">
        <f t="shared" si="87"/>
        <v>114.6</v>
      </c>
      <c r="H1116" s="343">
        <f t="shared" si="87"/>
        <v>0</v>
      </c>
      <c r="I1116" s="343">
        <f t="shared" si="84"/>
        <v>0</v>
      </c>
    </row>
    <row r="1117" spans="1:10" ht="31.5" x14ac:dyDescent="0.25">
      <c r="A1117" s="342" t="s">
        <v>147</v>
      </c>
      <c r="B1117" s="336">
        <v>908</v>
      </c>
      <c r="C1117" s="338" t="s">
        <v>260</v>
      </c>
      <c r="D1117" s="338" t="s">
        <v>136</v>
      </c>
      <c r="E1117" s="338" t="s">
        <v>1133</v>
      </c>
      <c r="F1117" s="338" t="s">
        <v>148</v>
      </c>
      <c r="G1117" s="343">
        <f t="shared" si="87"/>
        <v>114.6</v>
      </c>
      <c r="H1117" s="343">
        <f t="shared" si="87"/>
        <v>0</v>
      </c>
      <c r="I1117" s="343">
        <f t="shared" si="84"/>
        <v>0</v>
      </c>
    </row>
    <row r="1118" spans="1:10" ht="31.5" x14ac:dyDescent="0.25">
      <c r="A1118" s="342" t="s">
        <v>149</v>
      </c>
      <c r="B1118" s="336">
        <v>908</v>
      </c>
      <c r="C1118" s="338" t="s">
        <v>260</v>
      </c>
      <c r="D1118" s="338" t="s">
        <v>136</v>
      </c>
      <c r="E1118" s="338" t="s">
        <v>1133</v>
      </c>
      <c r="F1118" s="338" t="s">
        <v>150</v>
      </c>
      <c r="G1118" s="343">
        <f>87+27.6</f>
        <v>114.6</v>
      </c>
      <c r="H1118" s="343">
        <v>0</v>
      </c>
      <c r="I1118" s="343">
        <f t="shared" si="84"/>
        <v>0</v>
      </c>
    </row>
    <row r="1119" spans="1:10" ht="33" customHeight="1" x14ac:dyDescent="0.25">
      <c r="A1119" s="337" t="s">
        <v>590</v>
      </c>
      <c r="B1119" s="337">
        <v>910</v>
      </c>
      <c r="C1119" s="47"/>
      <c r="D1119" s="47"/>
      <c r="E1119" s="47"/>
      <c r="F1119" s="47"/>
      <c r="G1119" s="339">
        <f>G1120</f>
        <v>7219.7999999999993</v>
      </c>
      <c r="H1119" s="339">
        <f>H1120</f>
        <v>4209.4699999999993</v>
      </c>
      <c r="I1119" s="339">
        <f t="shared" si="84"/>
        <v>58.304523671015815</v>
      </c>
    </row>
    <row r="1120" spans="1:10" ht="15.75" x14ac:dyDescent="0.25">
      <c r="A1120" s="340" t="s">
        <v>133</v>
      </c>
      <c r="B1120" s="337">
        <v>910</v>
      </c>
      <c r="C1120" s="341" t="s">
        <v>134</v>
      </c>
      <c r="D1120" s="341"/>
      <c r="E1120" s="341"/>
      <c r="F1120" s="341"/>
      <c r="G1120" s="339">
        <f>G1121+G1140+G1151</f>
        <v>7219.7999999999993</v>
      </c>
      <c r="H1120" s="339">
        <f>H1121+H1140+H1151</f>
        <v>4209.4699999999993</v>
      </c>
      <c r="I1120" s="339">
        <f t="shared" si="84"/>
        <v>58.304523671015815</v>
      </c>
    </row>
    <row r="1121" spans="1:10" ht="36" customHeight="1" x14ac:dyDescent="0.25">
      <c r="A1121" s="340" t="s">
        <v>591</v>
      </c>
      <c r="B1121" s="337">
        <v>910</v>
      </c>
      <c r="C1121" s="341" t="s">
        <v>134</v>
      </c>
      <c r="D1121" s="341" t="s">
        <v>229</v>
      </c>
      <c r="E1121" s="341"/>
      <c r="F1121" s="341"/>
      <c r="G1121" s="339">
        <f>G1122+G1132</f>
        <v>4343.7</v>
      </c>
      <c r="H1121" s="339">
        <f>H1122+H1132</f>
        <v>2805.6</v>
      </c>
      <c r="I1121" s="339">
        <f t="shared" si="84"/>
        <v>64.590096001105053</v>
      </c>
    </row>
    <row r="1122" spans="1:10" ht="31.5" x14ac:dyDescent="0.25">
      <c r="A1122" s="340" t="s">
        <v>990</v>
      </c>
      <c r="B1122" s="337">
        <v>910</v>
      </c>
      <c r="C1122" s="341" t="s">
        <v>134</v>
      </c>
      <c r="D1122" s="341" t="s">
        <v>229</v>
      </c>
      <c r="E1122" s="341" t="s">
        <v>904</v>
      </c>
      <c r="F1122" s="341"/>
      <c r="G1122" s="339">
        <f>G1123</f>
        <v>4328.7</v>
      </c>
      <c r="H1122" s="339">
        <f>H1123</f>
        <v>2805.6</v>
      </c>
      <c r="I1122" s="339">
        <f t="shared" si="84"/>
        <v>64.813916418324212</v>
      </c>
    </row>
    <row r="1123" spans="1:10" ht="15.75" x14ac:dyDescent="0.25">
      <c r="A1123" s="340" t="s">
        <v>1134</v>
      </c>
      <c r="B1123" s="337">
        <v>910</v>
      </c>
      <c r="C1123" s="341" t="s">
        <v>134</v>
      </c>
      <c r="D1123" s="341" t="s">
        <v>229</v>
      </c>
      <c r="E1123" s="341" t="s">
        <v>1135</v>
      </c>
      <c r="F1123" s="341"/>
      <c r="G1123" s="339">
        <f>G1124+G1129</f>
        <v>4328.7</v>
      </c>
      <c r="H1123" s="339">
        <f>H1124+H1129</f>
        <v>2805.6</v>
      </c>
      <c r="I1123" s="339">
        <f t="shared" si="84"/>
        <v>64.813916418324212</v>
      </c>
    </row>
    <row r="1124" spans="1:10" ht="31.5" x14ac:dyDescent="0.25">
      <c r="A1124" s="342" t="s">
        <v>592</v>
      </c>
      <c r="B1124" s="336">
        <v>910</v>
      </c>
      <c r="C1124" s="338" t="s">
        <v>134</v>
      </c>
      <c r="D1124" s="338" t="s">
        <v>229</v>
      </c>
      <c r="E1124" s="338" t="s">
        <v>1136</v>
      </c>
      <c r="F1124" s="338"/>
      <c r="G1124" s="343">
        <f>G1125+G1127</f>
        <v>4328.7</v>
      </c>
      <c r="H1124" s="343">
        <f>H1125+H1127</f>
        <v>2805.6</v>
      </c>
      <c r="I1124" s="343">
        <f t="shared" si="84"/>
        <v>64.813916418324212</v>
      </c>
    </row>
    <row r="1125" spans="1:10" ht="63" x14ac:dyDescent="0.25">
      <c r="A1125" s="342" t="s">
        <v>143</v>
      </c>
      <c r="B1125" s="336">
        <v>910</v>
      </c>
      <c r="C1125" s="338" t="s">
        <v>134</v>
      </c>
      <c r="D1125" s="338" t="s">
        <v>229</v>
      </c>
      <c r="E1125" s="338" t="s">
        <v>1136</v>
      </c>
      <c r="F1125" s="338" t="s">
        <v>144</v>
      </c>
      <c r="G1125" s="343">
        <f>G1126</f>
        <v>4238.7</v>
      </c>
      <c r="H1125" s="343">
        <f>H1126</f>
        <v>2805.6</v>
      </c>
      <c r="I1125" s="343">
        <f t="shared" si="84"/>
        <v>66.190105456861772</v>
      </c>
    </row>
    <row r="1126" spans="1:10" ht="31.5" x14ac:dyDescent="0.25">
      <c r="A1126" s="342" t="s">
        <v>145</v>
      </c>
      <c r="B1126" s="336">
        <v>910</v>
      </c>
      <c r="C1126" s="338" t="s">
        <v>134</v>
      </c>
      <c r="D1126" s="338" t="s">
        <v>229</v>
      </c>
      <c r="E1126" s="338" t="s">
        <v>1136</v>
      </c>
      <c r="F1126" s="338" t="s">
        <v>146</v>
      </c>
      <c r="G1126" s="344">
        <f>4111+42+85.7</f>
        <v>4238.7</v>
      </c>
      <c r="H1126" s="344">
        <v>2805.6</v>
      </c>
      <c r="I1126" s="343">
        <f t="shared" si="84"/>
        <v>66.190105456861772</v>
      </c>
    </row>
    <row r="1127" spans="1:10" ht="34.5" customHeight="1" x14ac:dyDescent="0.25">
      <c r="A1127" s="342" t="s">
        <v>214</v>
      </c>
      <c r="B1127" s="336">
        <v>910</v>
      </c>
      <c r="C1127" s="338" t="s">
        <v>134</v>
      </c>
      <c r="D1127" s="338" t="s">
        <v>229</v>
      </c>
      <c r="E1127" s="338" t="s">
        <v>1136</v>
      </c>
      <c r="F1127" s="338" t="s">
        <v>148</v>
      </c>
      <c r="G1127" s="343">
        <f>G1128</f>
        <v>90</v>
      </c>
      <c r="H1127" s="343">
        <f>H1128</f>
        <v>0</v>
      </c>
      <c r="I1127" s="343">
        <f t="shared" si="84"/>
        <v>0</v>
      </c>
    </row>
    <row r="1128" spans="1:10" ht="30.2" customHeight="1" x14ac:dyDescent="0.25">
      <c r="A1128" s="342" t="s">
        <v>149</v>
      </c>
      <c r="B1128" s="336">
        <v>910</v>
      </c>
      <c r="C1128" s="338" t="s">
        <v>134</v>
      </c>
      <c r="D1128" s="338" t="s">
        <v>229</v>
      </c>
      <c r="E1128" s="338" t="s">
        <v>1136</v>
      </c>
      <c r="F1128" s="338" t="s">
        <v>150</v>
      </c>
      <c r="G1128" s="343">
        <f>21+69</f>
        <v>90</v>
      </c>
      <c r="H1128" s="343">
        <v>0</v>
      </c>
      <c r="I1128" s="343">
        <f t="shared" si="84"/>
        <v>0</v>
      </c>
    </row>
    <row r="1129" spans="1:10" s="218" customFormat="1" ht="30.2" hidden="1" customHeight="1" x14ac:dyDescent="0.25">
      <c r="A1129" s="342" t="s">
        <v>885</v>
      </c>
      <c r="B1129" s="336">
        <v>910</v>
      </c>
      <c r="C1129" s="338" t="s">
        <v>134</v>
      </c>
      <c r="D1129" s="338" t="s">
        <v>229</v>
      </c>
      <c r="E1129" s="338" t="s">
        <v>1137</v>
      </c>
      <c r="F1129" s="338"/>
      <c r="G1129" s="343">
        <f>G1130</f>
        <v>0</v>
      </c>
      <c r="H1129" s="343">
        <f>H1130</f>
        <v>0</v>
      </c>
      <c r="I1129" s="343" t="e">
        <f t="shared" si="84"/>
        <v>#DIV/0!</v>
      </c>
      <c r="J1129" s="332"/>
    </row>
    <row r="1130" spans="1:10" s="218" customFormat="1" ht="30.2" hidden="1" customHeight="1" x14ac:dyDescent="0.25">
      <c r="A1130" s="342" t="s">
        <v>143</v>
      </c>
      <c r="B1130" s="336">
        <v>910</v>
      </c>
      <c r="C1130" s="338" t="s">
        <v>134</v>
      </c>
      <c r="D1130" s="338" t="s">
        <v>229</v>
      </c>
      <c r="E1130" s="338" t="s">
        <v>1137</v>
      </c>
      <c r="F1130" s="338" t="s">
        <v>144</v>
      </c>
      <c r="G1130" s="343">
        <f>G1131</f>
        <v>0</v>
      </c>
      <c r="H1130" s="343">
        <f>H1131</f>
        <v>0</v>
      </c>
      <c r="I1130" s="343" t="e">
        <f t="shared" si="84"/>
        <v>#DIV/0!</v>
      </c>
      <c r="J1130" s="332"/>
    </row>
    <row r="1131" spans="1:10" s="218" customFormat="1" ht="30.2" hidden="1" customHeight="1" x14ac:dyDescent="0.25">
      <c r="A1131" s="342" t="s">
        <v>145</v>
      </c>
      <c r="B1131" s="336">
        <v>910</v>
      </c>
      <c r="C1131" s="338" t="s">
        <v>134</v>
      </c>
      <c r="D1131" s="338" t="s">
        <v>229</v>
      </c>
      <c r="E1131" s="338" t="s">
        <v>1137</v>
      </c>
      <c r="F1131" s="338" t="s">
        <v>146</v>
      </c>
      <c r="G1131" s="343">
        <f>42-42</f>
        <v>0</v>
      </c>
      <c r="H1131" s="343">
        <f>42-42</f>
        <v>0</v>
      </c>
      <c r="I1131" s="343" t="e">
        <f t="shared" si="84"/>
        <v>#DIV/0!</v>
      </c>
      <c r="J1131" s="332"/>
    </row>
    <row r="1132" spans="1:10" s="218" customFormat="1" ht="30.2" customHeight="1" x14ac:dyDescent="0.25">
      <c r="A1132" s="340" t="s">
        <v>1143</v>
      </c>
      <c r="B1132" s="337">
        <v>910</v>
      </c>
      <c r="C1132" s="341" t="s">
        <v>134</v>
      </c>
      <c r="D1132" s="341" t="s">
        <v>229</v>
      </c>
      <c r="E1132" s="341" t="s">
        <v>178</v>
      </c>
      <c r="F1132" s="341"/>
      <c r="G1132" s="339">
        <f>G1133</f>
        <v>15</v>
      </c>
      <c r="H1132" s="339">
        <f>H1133</f>
        <v>0</v>
      </c>
      <c r="I1132" s="339">
        <f t="shared" si="84"/>
        <v>0</v>
      </c>
      <c r="J1132" s="332"/>
    </row>
    <row r="1133" spans="1:10" s="218" customFormat="1" ht="62.45" customHeight="1" x14ac:dyDescent="0.25">
      <c r="A1133" s="232" t="s">
        <v>889</v>
      </c>
      <c r="B1133" s="337">
        <v>910</v>
      </c>
      <c r="C1133" s="341" t="s">
        <v>134</v>
      </c>
      <c r="D1133" s="341" t="s">
        <v>229</v>
      </c>
      <c r="E1133" s="341" t="s">
        <v>896</v>
      </c>
      <c r="F1133" s="341"/>
      <c r="G1133" s="339">
        <f>G1134+G1137</f>
        <v>15</v>
      </c>
      <c r="H1133" s="339">
        <f>H1134+H1137</f>
        <v>0</v>
      </c>
      <c r="I1133" s="339">
        <f t="shared" si="84"/>
        <v>0</v>
      </c>
      <c r="J1133" s="332"/>
    </row>
    <row r="1134" spans="1:10" s="218" customFormat="1" ht="37.5" customHeight="1" x14ac:dyDescent="0.25">
      <c r="A1134" s="31" t="s">
        <v>1298</v>
      </c>
      <c r="B1134" s="336">
        <v>910</v>
      </c>
      <c r="C1134" s="338" t="s">
        <v>134</v>
      </c>
      <c r="D1134" s="338" t="s">
        <v>229</v>
      </c>
      <c r="E1134" s="346" t="s">
        <v>1142</v>
      </c>
      <c r="F1134" s="338"/>
      <c r="G1134" s="343">
        <f>G1135</f>
        <v>1</v>
      </c>
      <c r="H1134" s="343">
        <f>H1135</f>
        <v>0</v>
      </c>
      <c r="I1134" s="343">
        <f t="shared" si="84"/>
        <v>0</v>
      </c>
      <c r="J1134" s="332"/>
    </row>
    <row r="1135" spans="1:10" s="218" customFormat="1" ht="30.2" customHeight="1" x14ac:dyDescent="0.25">
      <c r="A1135" s="342" t="s">
        <v>147</v>
      </c>
      <c r="B1135" s="336">
        <v>910</v>
      </c>
      <c r="C1135" s="338" t="s">
        <v>134</v>
      </c>
      <c r="D1135" s="338" t="s">
        <v>229</v>
      </c>
      <c r="E1135" s="346" t="s">
        <v>1142</v>
      </c>
      <c r="F1135" s="338" t="s">
        <v>148</v>
      </c>
      <c r="G1135" s="343">
        <f>G1136</f>
        <v>1</v>
      </c>
      <c r="H1135" s="343">
        <f>H1136</f>
        <v>0</v>
      </c>
      <c r="I1135" s="343">
        <f t="shared" si="84"/>
        <v>0</v>
      </c>
      <c r="J1135" s="332"/>
    </row>
    <row r="1136" spans="1:10" s="218" customFormat="1" ht="30.2" customHeight="1" x14ac:dyDescent="0.25">
      <c r="A1136" s="342" t="s">
        <v>149</v>
      </c>
      <c r="B1136" s="336">
        <v>910</v>
      </c>
      <c r="C1136" s="338" t="s">
        <v>134</v>
      </c>
      <c r="D1136" s="338" t="s">
        <v>229</v>
      </c>
      <c r="E1136" s="346" t="s">
        <v>713</v>
      </c>
      <c r="F1136" s="338" t="s">
        <v>150</v>
      </c>
      <c r="G1136" s="343">
        <f>0.5+0.5</f>
        <v>1</v>
      </c>
      <c r="H1136" s="343">
        <v>0</v>
      </c>
      <c r="I1136" s="343">
        <f t="shared" si="84"/>
        <v>0</v>
      </c>
      <c r="J1136" s="332"/>
    </row>
    <row r="1137" spans="1:10" s="218" customFormat="1" ht="50.25" customHeight="1" x14ac:dyDescent="0.25">
      <c r="A1137" s="31" t="s">
        <v>712</v>
      </c>
      <c r="B1137" s="336">
        <v>910</v>
      </c>
      <c r="C1137" s="338" t="s">
        <v>134</v>
      </c>
      <c r="D1137" s="338" t="s">
        <v>229</v>
      </c>
      <c r="E1137" s="338" t="s">
        <v>1141</v>
      </c>
      <c r="F1137" s="338"/>
      <c r="G1137" s="343">
        <f>G1138</f>
        <v>14</v>
      </c>
      <c r="H1137" s="343">
        <f>H1138</f>
        <v>0</v>
      </c>
      <c r="I1137" s="343">
        <f t="shared" si="84"/>
        <v>0</v>
      </c>
      <c r="J1137" s="332"/>
    </row>
    <row r="1138" spans="1:10" s="218" customFormat="1" ht="30.2" customHeight="1" x14ac:dyDescent="0.25">
      <c r="A1138" s="342" t="s">
        <v>147</v>
      </c>
      <c r="B1138" s="336">
        <v>910</v>
      </c>
      <c r="C1138" s="338" t="s">
        <v>134</v>
      </c>
      <c r="D1138" s="338" t="s">
        <v>229</v>
      </c>
      <c r="E1138" s="338" t="s">
        <v>1141</v>
      </c>
      <c r="F1138" s="338" t="s">
        <v>148</v>
      </c>
      <c r="G1138" s="343">
        <f>G1139</f>
        <v>14</v>
      </c>
      <c r="H1138" s="343">
        <f>H1139</f>
        <v>0</v>
      </c>
      <c r="I1138" s="343">
        <f t="shared" si="84"/>
        <v>0</v>
      </c>
      <c r="J1138" s="332"/>
    </row>
    <row r="1139" spans="1:10" s="218" customFormat="1" ht="30.2" customHeight="1" x14ac:dyDescent="0.25">
      <c r="A1139" s="342" t="s">
        <v>149</v>
      </c>
      <c r="B1139" s="336">
        <v>910</v>
      </c>
      <c r="C1139" s="338" t="s">
        <v>134</v>
      </c>
      <c r="D1139" s="338" t="s">
        <v>229</v>
      </c>
      <c r="E1139" s="338" t="s">
        <v>1141</v>
      </c>
      <c r="F1139" s="338" t="s">
        <v>150</v>
      </c>
      <c r="G1139" s="343">
        <f>40-40+25-11</f>
        <v>14</v>
      </c>
      <c r="H1139" s="343">
        <v>0</v>
      </c>
      <c r="I1139" s="343">
        <f t="shared" si="84"/>
        <v>0</v>
      </c>
      <c r="J1139" s="332"/>
    </row>
    <row r="1140" spans="1:10" ht="47.25" customHeight="1" x14ac:dyDescent="0.25">
      <c r="A1140" s="340" t="s">
        <v>594</v>
      </c>
      <c r="B1140" s="337">
        <v>910</v>
      </c>
      <c r="C1140" s="341" t="s">
        <v>134</v>
      </c>
      <c r="D1140" s="341" t="s">
        <v>231</v>
      </c>
      <c r="E1140" s="341"/>
      <c r="F1140" s="341"/>
      <c r="G1140" s="339">
        <f>G1141</f>
        <v>1143</v>
      </c>
      <c r="H1140" s="339">
        <f>H1141</f>
        <v>542.67999999999995</v>
      </c>
      <c r="I1140" s="339">
        <f t="shared" si="84"/>
        <v>47.478565179352579</v>
      </c>
    </row>
    <row r="1141" spans="1:10" ht="31.5" x14ac:dyDescent="0.25">
      <c r="A1141" s="340" t="s">
        <v>990</v>
      </c>
      <c r="B1141" s="337">
        <v>910</v>
      </c>
      <c r="C1141" s="341" t="s">
        <v>134</v>
      </c>
      <c r="D1141" s="341" t="s">
        <v>231</v>
      </c>
      <c r="E1141" s="341" t="s">
        <v>904</v>
      </c>
      <c r="F1141" s="341"/>
      <c r="G1141" s="339">
        <f>G1142</f>
        <v>1143</v>
      </c>
      <c r="H1141" s="339">
        <f>H1142</f>
        <v>542.67999999999995</v>
      </c>
      <c r="I1141" s="339">
        <f t="shared" si="84"/>
        <v>47.478565179352579</v>
      </c>
    </row>
    <row r="1142" spans="1:10" ht="15.75" x14ac:dyDescent="0.25">
      <c r="A1142" s="340" t="s">
        <v>1134</v>
      </c>
      <c r="B1142" s="337">
        <v>910</v>
      </c>
      <c r="C1142" s="341" t="s">
        <v>134</v>
      </c>
      <c r="D1142" s="341" t="s">
        <v>231</v>
      </c>
      <c r="E1142" s="341" t="s">
        <v>1135</v>
      </c>
      <c r="F1142" s="341"/>
      <c r="G1142" s="339">
        <f>G1143+G1148</f>
        <v>1143</v>
      </c>
      <c r="H1142" s="339">
        <f>H1143+H1148</f>
        <v>542.67999999999995</v>
      </c>
      <c r="I1142" s="339">
        <f t="shared" si="84"/>
        <v>47.478565179352579</v>
      </c>
    </row>
    <row r="1143" spans="1:10" ht="31.5" x14ac:dyDescent="0.25">
      <c r="A1143" s="342" t="s">
        <v>1138</v>
      </c>
      <c r="B1143" s="336">
        <v>910</v>
      </c>
      <c r="C1143" s="338" t="s">
        <v>134</v>
      </c>
      <c r="D1143" s="338" t="s">
        <v>231</v>
      </c>
      <c r="E1143" s="338" t="s">
        <v>1139</v>
      </c>
      <c r="F1143" s="338"/>
      <c r="G1143" s="343">
        <f>G1144+G1146</f>
        <v>1143</v>
      </c>
      <c r="H1143" s="343">
        <f>H1144+H1146</f>
        <v>542.67999999999995</v>
      </c>
      <c r="I1143" s="343">
        <f t="shared" si="84"/>
        <v>47.478565179352579</v>
      </c>
    </row>
    <row r="1144" spans="1:10" ht="63" x14ac:dyDescent="0.25">
      <c r="A1144" s="342" t="s">
        <v>143</v>
      </c>
      <c r="B1144" s="336">
        <v>910</v>
      </c>
      <c r="C1144" s="338" t="s">
        <v>134</v>
      </c>
      <c r="D1144" s="338" t="s">
        <v>231</v>
      </c>
      <c r="E1144" s="338" t="s">
        <v>1139</v>
      </c>
      <c r="F1144" s="338" t="s">
        <v>144</v>
      </c>
      <c r="G1144" s="343">
        <f>G1145</f>
        <v>1050</v>
      </c>
      <c r="H1144" s="343">
        <f>H1145</f>
        <v>515.64</v>
      </c>
      <c r="I1144" s="343">
        <f t="shared" si="84"/>
        <v>49.10857142857143</v>
      </c>
    </row>
    <row r="1145" spans="1:10" ht="31.5" x14ac:dyDescent="0.25">
      <c r="A1145" s="342" t="s">
        <v>145</v>
      </c>
      <c r="B1145" s="336">
        <v>910</v>
      </c>
      <c r="C1145" s="338" t="s">
        <v>134</v>
      </c>
      <c r="D1145" s="338" t="s">
        <v>231</v>
      </c>
      <c r="E1145" s="338" t="s">
        <v>1139</v>
      </c>
      <c r="F1145" s="338" t="s">
        <v>146</v>
      </c>
      <c r="G1145" s="343">
        <f>998+52</f>
        <v>1050</v>
      </c>
      <c r="H1145" s="343">
        <v>515.64</v>
      </c>
      <c r="I1145" s="343">
        <f t="shared" si="84"/>
        <v>49.10857142857143</v>
      </c>
    </row>
    <row r="1146" spans="1:10" ht="31.5" x14ac:dyDescent="0.25">
      <c r="A1146" s="342" t="s">
        <v>214</v>
      </c>
      <c r="B1146" s="336">
        <v>910</v>
      </c>
      <c r="C1146" s="338" t="s">
        <v>134</v>
      </c>
      <c r="D1146" s="338" t="s">
        <v>231</v>
      </c>
      <c r="E1146" s="338" t="s">
        <v>1139</v>
      </c>
      <c r="F1146" s="338" t="s">
        <v>148</v>
      </c>
      <c r="G1146" s="343">
        <f>G1147</f>
        <v>93</v>
      </c>
      <c r="H1146" s="343">
        <f>H1147</f>
        <v>27.04</v>
      </c>
      <c r="I1146" s="343">
        <f t="shared" si="84"/>
        <v>29.075268817204304</v>
      </c>
    </row>
    <row r="1147" spans="1:10" ht="31.5" x14ac:dyDescent="0.25">
      <c r="A1147" s="342" t="s">
        <v>149</v>
      </c>
      <c r="B1147" s="336">
        <v>910</v>
      </c>
      <c r="C1147" s="338" t="s">
        <v>134</v>
      </c>
      <c r="D1147" s="338" t="s">
        <v>231</v>
      </c>
      <c r="E1147" s="338" t="s">
        <v>1139</v>
      </c>
      <c r="F1147" s="338" t="s">
        <v>150</v>
      </c>
      <c r="G1147" s="343">
        <v>93</v>
      </c>
      <c r="H1147" s="343">
        <v>27.04</v>
      </c>
      <c r="I1147" s="343">
        <f t="shared" si="84"/>
        <v>29.075268817204304</v>
      </c>
    </row>
    <row r="1148" spans="1:10" s="218" customFormat="1" ht="39.75" hidden="1" customHeight="1" x14ac:dyDescent="0.25">
      <c r="A1148" s="342" t="s">
        <v>885</v>
      </c>
      <c r="B1148" s="336">
        <v>910</v>
      </c>
      <c r="C1148" s="338" t="s">
        <v>134</v>
      </c>
      <c r="D1148" s="338" t="s">
        <v>231</v>
      </c>
      <c r="E1148" s="338" t="s">
        <v>1137</v>
      </c>
      <c r="F1148" s="338"/>
      <c r="G1148" s="343">
        <f>G1149</f>
        <v>0</v>
      </c>
      <c r="H1148" s="343">
        <f>H1149</f>
        <v>0</v>
      </c>
      <c r="I1148" s="343" t="e">
        <f t="shared" si="84"/>
        <v>#DIV/0!</v>
      </c>
      <c r="J1148" s="332"/>
    </row>
    <row r="1149" spans="1:10" s="218" customFormat="1" ht="69.75" hidden="1" customHeight="1" x14ac:dyDescent="0.25">
      <c r="A1149" s="342" t="s">
        <v>143</v>
      </c>
      <c r="B1149" s="336">
        <v>910</v>
      </c>
      <c r="C1149" s="338" t="s">
        <v>134</v>
      </c>
      <c r="D1149" s="338" t="s">
        <v>231</v>
      </c>
      <c r="E1149" s="338" t="s">
        <v>1137</v>
      </c>
      <c r="F1149" s="338" t="s">
        <v>144</v>
      </c>
      <c r="G1149" s="343">
        <f>G1150</f>
        <v>0</v>
      </c>
      <c r="H1149" s="343">
        <f>H1150</f>
        <v>0</v>
      </c>
      <c r="I1149" s="343" t="e">
        <f t="shared" si="84"/>
        <v>#DIV/0!</v>
      </c>
      <c r="J1149" s="332"/>
    </row>
    <row r="1150" spans="1:10" s="218" customFormat="1" ht="35.450000000000003" hidden="1" customHeight="1" x14ac:dyDescent="0.25">
      <c r="A1150" s="342" t="s">
        <v>145</v>
      </c>
      <c r="B1150" s="336">
        <v>910</v>
      </c>
      <c r="C1150" s="338" t="s">
        <v>134</v>
      </c>
      <c r="D1150" s="338" t="s">
        <v>231</v>
      </c>
      <c r="E1150" s="338" t="s">
        <v>1137</v>
      </c>
      <c r="F1150" s="338" t="s">
        <v>146</v>
      </c>
      <c r="G1150" s="343">
        <v>0</v>
      </c>
      <c r="H1150" s="343">
        <v>0</v>
      </c>
      <c r="I1150" s="343" t="e">
        <f t="shared" si="84"/>
        <v>#DIV/0!</v>
      </c>
      <c r="J1150" s="332"/>
    </row>
    <row r="1151" spans="1:10" ht="47.25" x14ac:dyDescent="0.25">
      <c r="A1151" s="340" t="s">
        <v>135</v>
      </c>
      <c r="B1151" s="337">
        <v>910</v>
      </c>
      <c r="C1151" s="341" t="s">
        <v>134</v>
      </c>
      <c r="D1151" s="341" t="s">
        <v>136</v>
      </c>
      <c r="E1151" s="341"/>
      <c r="F1151" s="341"/>
      <c r="G1151" s="339">
        <f>G1152</f>
        <v>1733.1</v>
      </c>
      <c r="H1151" s="339">
        <f>H1152</f>
        <v>861.19</v>
      </c>
      <c r="I1151" s="339">
        <f t="shared" si="84"/>
        <v>49.69072759794588</v>
      </c>
    </row>
    <row r="1152" spans="1:10" s="112" customFormat="1" ht="31.5" x14ac:dyDescent="0.25">
      <c r="A1152" s="340" t="s">
        <v>990</v>
      </c>
      <c r="B1152" s="337">
        <v>910</v>
      </c>
      <c r="C1152" s="341" t="s">
        <v>134</v>
      </c>
      <c r="D1152" s="341" t="s">
        <v>136</v>
      </c>
      <c r="E1152" s="341" t="s">
        <v>904</v>
      </c>
      <c r="F1152" s="341"/>
      <c r="G1152" s="339">
        <f>G1153</f>
        <v>1733.1</v>
      </c>
      <c r="H1152" s="339">
        <f>H1153</f>
        <v>861.19</v>
      </c>
      <c r="I1152" s="339">
        <f t="shared" si="84"/>
        <v>49.69072759794588</v>
      </c>
      <c r="J1152" s="220"/>
    </row>
    <row r="1153" spans="1:13" s="112" customFormat="1" ht="15.75" x14ac:dyDescent="0.25">
      <c r="A1153" s="340" t="s">
        <v>1134</v>
      </c>
      <c r="B1153" s="337">
        <v>910</v>
      </c>
      <c r="C1153" s="341" t="s">
        <v>134</v>
      </c>
      <c r="D1153" s="341" t="s">
        <v>136</v>
      </c>
      <c r="E1153" s="341" t="s">
        <v>1135</v>
      </c>
      <c r="F1153" s="341"/>
      <c r="G1153" s="339">
        <f>G1154+G1159</f>
        <v>1733.1</v>
      </c>
      <c r="H1153" s="339">
        <f>H1154+H1159</f>
        <v>861.19</v>
      </c>
      <c r="I1153" s="339">
        <f t="shared" si="84"/>
        <v>49.69072759794588</v>
      </c>
      <c r="J1153" s="220"/>
    </row>
    <row r="1154" spans="1:13" s="112" customFormat="1" ht="31.5" x14ac:dyDescent="0.25">
      <c r="A1154" s="342" t="s">
        <v>967</v>
      </c>
      <c r="B1154" s="336">
        <v>910</v>
      </c>
      <c r="C1154" s="338" t="s">
        <v>134</v>
      </c>
      <c r="D1154" s="338" t="s">
        <v>136</v>
      </c>
      <c r="E1154" s="338" t="s">
        <v>1139</v>
      </c>
      <c r="F1154" s="338"/>
      <c r="G1154" s="343">
        <f>G1155+G1157</f>
        <v>1691.1</v>
      </c>
      <c r="H1154" s="343">
        <f>H1155+H1157</f>
        <v>861.19</v>
      </c>
      <c r="I1154" s="343">
        <f t="shared" si="84"/>
        <v>50.924841818934432</v>
      </c>
      <c r="J1154" s="220"/>
    </row>
    <row r="1155" spans="1:13" ht="63" x14ac:dyDescent="0.25">
      <c r="A1155" s="342" t="s">
        <v>143</v>
      </c>
      <c r="B1155" s="336">
        <v>910</v>
      </c>
      <c r="C1155" s="338" t="s">
        <v>134</v>
      </c>
      <c r="D1155" s="338" t="s">
        <v>136</v>
      </c>
      <c r="E1155" s="338" t="s">
        <v>1139</v>
      </c>
      <c r="F1155" s="338" t="s">
        <v>144</v>
      </c>
      <c r="G1155" s="343">
        <f>G1156</f>
        <v>1673.1</v>
      </c>
      <c r="H1155" s="343">
        <f>H1156</f>
        <v>861.19</v>
      </c>
      <c r="I1155" s="343">
        <f t="shared" si="84"/>
        <v>51.472715318869163</v>
      </c>
    </row>
    <row r="1156" spans="1:13" ht="31.5" x14ac:dyDescent="0.25">
      <c r="A1156" s="342" t="s">
        <v>145</v>
      </c>
      <c r="B1156" s="336">
        <v>910</v>
      </c>
      <c r="C1156" s="338" t="s">
        <v>134</v>
      </c>
      <c r="D1156" s="338" t="s">
        <v>136</v>
      </c>
      <c r="E1156" s="338" t="s">
        <v>1139</v>
      </c>
      <c r="F1156" s="338" t="s">
        <v>146</v>
      </c>
      <c r="G1156" s="343">
        <f>1586+80+7.1</f>
        <v>1673.1</v>
      </c>
      <c r="H1156" s="343">
        <v>861.19</v>
      </c>
      <c r="I1156" s="343">
        <f t="shared" si="84"/>
        <v>51.472715318869163</v>
      </c>
    </row>
    <row r="1157" spans="1:13" ht="31.5" x14ac:dyDescent="0.25">
      <c r="A1157" s="342" t="s">
        <v>214</v>
      </c>
      <c r="B1157" s="336">
        <v>910</v>
      </c>
      <c r="C1157" s="338" t="s">
        <v>134</v>
      </c>
      <c r="D1157" s="338" t="s">
        <v>136</v>
      </c>
      <c r="E1157" s="338" t="s">
        <v>1139</v>
      </c>
      <c r="F1157" s="338" t="s">
        <v>148</v>
      </c>
      <c r="G1157" s="343">
        <f>G1158</f>
        <v>18</v>
      </c>
      <c r="H1157" s="343">
        <f>H1158</f>
        <v>0</v>
      </c>
      <c r="I1157" s="343">
        <f t="shared" si="84"/>
        <v>0</v>
      </c>
    </row>
    <row r="1158" spans="1:13" ht="31.5" x14ac:dyDescent="0.25">
      <c r="A1158" s="342" t="s">
        <v>149</v>
      </c>
      <c r="B1158" s="336">
        <v>910</v>
      </c>
      <c r="C1158" s="338" t="s">
        <v>134</v>
      </c>
      <c r="D1158" s="338" t="s">
        <v>136</v>
      </c>
      <c r="E1158" s="338" t="s">
        <v>1139</v>
      </c>
      <c r="F1158" s="338" t="s">
        <v>150</v>
      </c>
      <c r="G1158" s="343">
        <v>18</v>
      </c>
      <c r="H1158" s="343">
        <v>0</v>
      </c>
      <c r="I1158" s="343">
        <f t="shared" si="84"/>
        <v>0</v>
      </c>
    </row>
    <row r="1159" spans="1:13" s="218" customFormat="1" ht="31.5" x14ac:dyDescent="0.25">
      <c r="A1159" s="342" t="s">
        <v>885</v>
      </c>
      <c r="B1159" s="336">
        <v>910</v>
      </c>
      <c r="C1159" s="338" t="s">
        <v>134</v>
      </c>
      <c r="D1159" s="338" t="s">
        <v>136</v>
      </c>
      <c r="E1159" s="338" t="s">
        <v>1137</v>
      </c>
      <c r="F1159" s="338"/>
      <c r="G1159" s="343">
        <f>G1160</f>
        <v>42</v>
      </c>
      <c r="H1159" s="343">
        <f>H1160</f>
        <v>0</v>
      </c>
      <c r="I1159" s="343">
        <f t="shared" si="84"/>
        <v>0</v>
      </c>
      <c r="J1159" s="332"/>
    </row>
    <row r="1160" spans="1:13" s="218" customFormat="1" ht="63" x14ac:dyDescent="0.25">
      <c r="A1160" s="342" t="s">
        <v>143</v>
      </c>
      <c r="B1160" s="336">
        <v>910</v>
      </c>
      <c r="C1160" s="338" t="s">
        <v>134</v>
      </c>
      <c r="D1160" s="338" t="s">
        <v>136</v>
      </c>
      <c r="E1160" s="338" t="s">
        <v>1137</v>
      </c>
      <c r="F1160" s="338" t="s">
        <v>144</v>
      </c>
      <c r="G1160" s="343">
        <f>G1161</f>
        <v>42</v>
      </c>
      <c r="H1160" s="343">
        <f>H1161</f>
        <v>0</v>
      </c>
      <c r="I1160" s="343">
        <f t="shared" si="84"/>
        <v>0</v>
      </c>
      <c r="J1160" s="332"/>
    </row>
    <row r="1161" spans="1:13" s="218" customFormat="1" ht="31.5" x14ac:dyDescent="0.25">
      <c r="A1161" s="342" t="s">
        <v>145</v>
      </c>
      <c r="B1161" s="336">
        <v>910</v>
      </c>
      <c r="C1161" s="338" t="s">
        <v>134</v>
      </c>
      <c r="D1161" s="338" t="s">
        <v>136</v>
      </c>
      <c r="E1161" s="338" t="s">
        <v>1137</v>
      </c>
      <c r="F1161" s="338" t="s">
        <v>146</v>
      </c>
      <c r="G1161" s="343">
        <v>42</v>
      </c>
      <c r="H1161" s="343">
        <v>0</v>
      </c>
      <c r="I1161" s="343">
        <f t="shared" si="84"/>
        <v>0</v>
      </c>
      <c r="J1161" s="332"/>
    </row>
    <row r="1162" spans="1:13" ht="15.75" x14ac:dyDescent="0.25">
      <c r="A1162" s="48" t="s">
        <v>603</v>
      </c>
      <c r="B1162" s="48"/>
      <c r="C1162" s="341"/>
      <c r="D1162" s="341"/>
      <c r="E1162" s="341"/>
      <c r="F1162" s="341"/>
      <c r="G1162" s="295">
        <f>G1119+G884+G789+G541+G492+G211+G25+G10</f>
        <v>764350.74239999987</v>
      </c>
      <c r="H1162" s="295">
        <f>H1119+H884+H789+H541+H492+H211+H25+H10</f>
        <v>354191</v>
      </c>
      <c r="I1162" s="339">
        <f t="shared" si="84"/>
        <v>46.338804995186997</v>
      </c>
    </row>
    <row r="1163" spans="1:13" x14ac:dyDescent="0.25">
      <c r="A1163" s="50"/>
      <c r="B1163" s="50"/>
      <c r="C1163" s="50"/>
      <c r="D1163" s="50"/>
      <c r="E1163" s="50"/>
      <c r="F1163" s="50"/>
      <c r="G1163" s="50"/>
      <c r="H1163" s="327"/>
      <c r="I1163" s="50"/>
    </row>
    <row r="1164" spans="1:13" ht="18.75" x14ac:dyDescent="0.3">
      <c r="A1164" s="50"/>
      <c r="B1164" s="50"/>
      <c r="C1164" s="51"/>
      <c r="D1164" s="51"/>
      <c r="E1164" s="51"/>
      <c r="F1164" s="328" t="s">
        <v>604</v>
      </c>
      <c r="G1164" s="52">
        <f>G1162-G1165</f>
        <v>471798.54239999986</v>
      </c>
      <c r="H1164" s="52">
        <f>H1162-H1165</f>
        <v>232512.14240000001</v>
      </c>
      <c r="I1164" s="52"/>
      <c r="J1164" s="246"/>
      <c r="K1164" s="246"/>
      <c r="L1164" s="246">
        <f>'пр.7 ист-ки 20'!C17</f>
        <v>16563.742399999988</v>
      </c>
      <c r="M1164" s="246">
        <f>L1164-K1164</f>
        <v>16563.742399999988</v>
      </c>
    </row>
    <row r="1165" spans="1:13" ht="18.75" x14ac:dyDescent="0.3">
      <c r="A1165" s="50"/>
      <c r="B1165" s="50"/>
      <c r="C1165" s="51"/>
      <c r="D1165" s="51"/>
      <c r="E1165" s="51"/>
      <c r="F1165" s="328" t="s">
        <v>605</v>
      </c>
      <c r="G1165" s="52">
        <f>G45+G167+G176+G205+G220+G253+G260+G300+G360+G392+G395+G448+G521+G563+G604+G637+G677+G684+G725+G759+G832+G1062+G1069+G972+G267+G187+G84+G1137-401-28.9-239.82+G701+G611+G537+G507+G367-47.759-77.423+G839-39.5604+G799+G849+G698</f>
        <v>292552.2</v>
      </c>
      <c r="H1165" s="52">
        <f>H45+H167+H176+H205+H220+H253+H260+H300+H360+H392+H395+H448+H521+H563+H604+H637+H677+H684+H725+H759+H832+H1062+H1069+H972+H267+H187+H84+H1137-401-28.9-239.82+H701+H611+H537+H507+H367-47.759-77.423+H839-39.5604+H799+H849+H698</f>
        <v>121678.8576</v>
      </c>
      <c r="I1165" s="52">
        <f>G1165-H1165</f>
        <v>170873.34240000002</v>
      </c>
    </row>
    <row r="1166" spans="1:13" ht="15.75" x14ac:dyDescent="0.25">
      <c r="A1166" s="50"/>
      <c r="B1166" s="50"/>
      <c r="C1166" s="51"/>
      <c r="D1166" s="53"/>
      <c r="E1166" s="53"/>
      <c r="F1166" s="53"/>
      <c r="G1166" s="103"/>
      <c r="H1166" s="103"/>
      <c r="I1166" s="103"/>
    </row>
    <row r="1167" spans="1:13" ht="15.75" x14ac:dyDescent="0.25">
      <c r="A1167" s="50"/>
      <c r="B1167" s="50"/>
      <c r="C1167" s="51"/>
      <c r="D1167" s="53"/>
      <c r="E1167" s="53"/>
      <c r="F1167" s="53"/>
      <c r="G1167" s="326"/>
      <c r="H1167" s="326"/>
      <c r="I1167" s="326"/>
    </row>
    <row r="1168" spans="1:13" ht="15.75" x14ac:dyDescent="0.25">
      <c r="A1168" s="50"/>
      <c r="B1168" s="50"/>
      <c r="C1168" s="51"/>
      <c r="D1168" s="53"/>
      <c r="E1168" s="53"/>
      <c r="F1168" s="53"/>
      <c r="G1168" s="51"/>
      <c r="H1168" s="51"/>
      <c r="I1168" s="51"/>
    </row>
    <row r="1169" spans="1:9" ht="15.75" x14ac:dyDescent="0.25">
      <c r="A1169" s="50"/>
      <c r="B1169" s="50"/>
      <c r="C1169" s="54">
        <v>1</v>
      </c>
      <c r="D1169" s="53"/>
      <c r="E1169" s="53"/>
      <c r="F1169" s="53"/>
      <c r="G1169" s="55">
        <f>G11+G26+G212+G493+G542+G885+G1120+G790</f>
        <v>138868.19999999998</v>
      </c>
      <c r="H1169" s="55"/>
      <c r="I1169" s="55"/>
    </row>
    <row r="1170" spans="1:9" ht="15.75" x14ac:dyDescent="0.25">
      <c r="A1170" s="50"/>
      <c r="B1170" s="50"/>
      <c r="C1170" s="54" t="s">
        <v>604</v>
      </c>
      <c r="D1170" s="53"/>
      <c r="E1170" s="53"/>
      <c r="F1170" s="53"/>
      <c r="G1170" s="55">
        <f>G1169-G1171</f>
        <v>135579.59999999998</v>
      </c>
      <c r="H1170" s="55"/>
      <c r="I1170" s="55"/>
    </row>
    <row r="1171" spans="1:9" ht="15.75" x14ac:dyDescent="0.25">
      <c r="A1171" s="50"/>
      <c r="B1171" s="50"/>
      <c r="C1171" s="54" t="s">
        <v>605</v>
      </c>
      <c r="D1171" s="53"/>
      <c r="E1171" s="53"/>
      <c r="F1171" s="53"/>
      <c r="G1171" s="55">
        <f>G1137+G521+G220+G84+G45-239.82+G507</f>
        <v>3288.6</v>
      </c>
      <c r="H1171" s="55"/>
      <c r="I1171" s="55"/>
    </row>
    <row r="1172" spans="1:9" ht="15.75" x14ac:dyDescent="0.25">
      <c r="A1172" s="50"/>
      <c r="B1172" s="50"/>
      <c r="C1172" s="54">
        <v>2</v>
      </c>
      <c r="D1172" s="53"/>
      <c r="E1172" s="53"/>
      <c r="F1172" s="53"/>
      <c r="G1172" s="55">
        <f>G134</f>
        <v>0</v>
      </c>
      <c r="H1172" s="55"/>
      <c r="I1172" s="55"/>
    </row>
    <row r="1173" spans="1:9" ht="15.75" x14ac:dyDescent="0.25">
      <c r="A1173" s="50"/>
      <c r="B1173" s="50"/>
      <c r="C1173" s="54">
        <v>3</v>
      </c>
      <c r="D1173" s="53"/>
      <c r="E1173" s="53"/>
      <c r="F1173" s="53"/>
      <c r="G1173" s="55">
        <f>G904+G141</f>
        <v>7966.4</v>
      </c>
      <c r="H1173" s="55"/>
      <c r="I1173" s="55"/>
    </row>
    <row r="1174" spans="1:9" ht="15.75" x14ac:dyDescent="0.25">
      <c r="A1174" s="50"/>
      <c r="B1174" s="50"/>
      <c r="C1174" s="54">
        <v>4</v>
      </c>
      <c r="D1174" s="53"/>
      <c r="E1174" s="53"/>
      <c r="F1174" s="53"/>
      <c r="G1174" s="55">
        <f>G160+G911+G245</f>
        <v>8168.8</v>
      </c>
      <c r="H1174" s="55"/>
      <c r="I1174" s="55"/>
    </row>
    <row r="1175" spans="1:9" ht="15.75" x14ac:dyDescent="0.25">
      <c r="A1175" s="50"/>
      <c r="B1175" s="50"/>
      <c r="C1175" s="54" t="s">
        <v>604</v>
      </c>
      <c r="D1175" s="53"/>
      <c r="E1175" s="53"/>
      <c r="F1175" s="53"/>
      <c r="G1175" s="55">
        <f>G1174-G1176</f>
        <v>7425</v>
      </c>
      <c r="H1175" s="55"/>
      <c r="I1175" s="55"/>
    </row>
    <row r="1176" spans="1:9" ht="15.75" x14ac:dyDescent="0.25">
      <c r="A1176" s="50"/>
      <c r="B1176" s="50"/>
      <c r="C1176" s="54" t="s">
        <v>605</v>
      </c>
      <c r="D1176" s="53"/>
      <c r="E1176" s="53"/>
      <c r="F1176" s="53"/>
      <c r="G1176" s="55">
        <f>G176+G253+G260+G267+G187+G167</f>
        <v>743.8</v>
      </c>
      <c r="H1176" s="55"/>
      <c r="I1176" s="55"/>
    </row>
    <row r="1177" spans="1:9" ht="15.75" x14ac:dyDescent="0.25">
      <c r="A1177" s="50"/>
      <c r="B1177" s="50"/>
      <c r="C1177" s="54">
        <v>5</v>
      </c>
      <c r="D1177" s="53"/>
      <c r="E1177" s="53"/>
      <c r="F1177" s="53"/>
      <c r="G1177" s="55">
        <f>G938+G525</f>
        <v>65254</v>
      </c>
      <c r="H1177" s="55"/>
      <c r="I1177" s="55"/>
    </row>
    <row r="1178" spans="1:9" ht="15.75" x14ac:dyDescent="0.25">
      <c r="A1178" s="50"/>
      <c r="B1178" s="50"/>
      <c r="C1178" s="54" t="s">
        <v>604</v>
      </c>
      <c r="D1178" s="53"/>
      <c r="E1178" s="53"/>
      <c r="F1178" s="53"/>
      <c r="G1178" s="55">
        <f>G1177-G1179</f>
        <v>41139.5</v>
      </c>
      <c r="H1178" s="55"/>
      <c r="I1178" s="55"/>
    </row>
    <row r="1179" spans="1:9" ht="15.75" x14ac:dyDescent="0.25">
      <c r="A1179" s="50"/>
      <c r="B1179" s="50"/>
      <c r="C1179" s="54" t="s">
        <v>605</v>
      </c>
      <c r="D1179" s="53"/>
      <c r="E1179" s="53"/>
      <c r="F1179" s="53"/>
      <c r="G1179" s="55">
        <f>G972+G1062+G1071-401</f>
        <v>24114.5</v>
      </c>
      <c r="H1179" s="55"/>
      <c r="I1179" s="55"/>
    </row>
    <row r="1180" spans="1:9" ht="15.75" x14ac:dyDescent="0.25">
      <c r="A1180" s="50"/>
      <c r="B1180" s="50"/>
      <c r="C1180" s="54">
        <v>7</v>
      </c>
      <c r="D1180" s="53"/>
      <c r="E1180" s="53"/>
      <c r="F1180" s="53"/>
      <c r="G1180" s="55">
        <f>G552+G274</f>
        <v>382536.88899999997</v>
      </c>
      <c r="H1180" s="55"/>
      <c r="I1180" s="55"/>
    </row>
    <row r="1181" spans="1:9" ht="15.75" x14ac:dyDescent="0.25">
      <c r="A1181" s="50"/>
      <c r="B1181" s="50"/>
      <c r="C1181" s="54" t="s">
        <v>604</v>
      </c>
      <c r="D1181" s="53"/>
      <c r="E1181" s="53"/>
      <c r="F1181" s="53"/>
      <c r="G1181" s="55">
        <f>G1180-G1182</f>
        <v>133101.88899999994</v>
      </c>
      <c r="H1181" s="55"/>
      <c r="I1181" s="55"/>
    </row>
    <row r="1182" spans="1:9" ht="15.75" x14ac:dyDescent="0.25">
      <c r="A1182" s="50"/>
      <c r="B1182" s="50"/>
      <c r="C1182" s="54" t="s">
        <v>605</v>
      </c>
      <c r="D1182" s="53"/>
      <c r="E1182" s="53"/>
      <c r="F1182" s="53"/>
      <c r="G1182" s="55">
        <f>G759+G725+G684+G677+G637+G604+G563+G300+G701+G611-47.759+G700</f>
        <v>249435.00000000003</v>
      </c>
      <c r="H1182" s="55"/>
      <c r="I1182" s="55"/>
    </row>
    <row r="1183" spans="1:9" ht="15.75" x14ac:dyDescent="0.25">
      <c r="A1183" s="50"/>
      <c r="B1183" s="50"/>
      <c r="C1183" s="54">
        <v>8</v>
      </c>
      <c r="D1183" s="53"/>
      <c r="E1183" s="53"/>
      <c r="F1183" s="53"/>
      <c r="G1183" s="55">
        <f>G338</f>
        <v>72248.323000000004</v>
      </c>
      <c r="H1183" s="55"/>
      <c r="I1183" s="55"/>
    </row>
    <row r="1184" spans="1:9" ht="15.75" x14ac:dyDescent="0.25">
      <c r="A1184" s="50"/>
      <c r="B1184" s="50"/>
      <c r="C1184" s="54" t="s">
        <v>604</v>
      </c>
      <c r="D1184" s="53"/>
      <c r="E1184" s="53"/>
      <c r="F1184" s="53"/>
      <c r="G1184" s="55">
        <f>G1183-G1185</f>
        <v>68509.323000000004</v>
      </c>
      <c r="H1184" s="55"/>
      <c r="I1184" s="55"/>
    </row>
    <row r="1185" spans="1:9" ht="15.75" x14ac:dyDescent="0.25">
      <c r="A1185" s="50"/>
      <c r="B1185" s="50"/>
      <c r="C1185" s="54" t="s">
        <v>605</v>
      </c>
      <c r="D1185" s="53"/>
      <c r="E1185" s="53"/>
      <c r="F1185" s="53"/>
      <c r="G1185" s="55">
        <f>G395+G392+G360+G367-77.423</f>
        <v>3739</v>
      </c>
      <c r="H1185" s="55"/>
      <c r="I1185" s="55"/>
    </row>
    <row r="1186" spans="1:9" ht="15.75" x14ac:dyDescent="0.25">
      <c r="A1186" s="50"/>
      <c r="B1186" s="50"/>
      <c r="C1186" s="54">
        <v>10</v>
      </c>
      <c r="D1186" s="53"/>
      <c r="E1186" s="53"/>
      <c r="F1186" s="53"/>
      <c r="G1186" s="55">
        <f>G1111+G444+G190+G535</f>
        <v>16582.400000000001</v>
      </c>
      <c r="H1186" s="55"/>
      <c r="I1186" s="55"/>
    </row>
    <row r="1187" spans="1:9" ht="15.75" x14ac:dyDescent="0.25">
      <c r="A1187" s="50"/>
      <c r="B1187" s="50"/>
      <c r="C1187" s="54" t="s">
        <v>604</v>
      </c>
      <c r="D1187" s="53"/>
      <c r="E1187" s="53"/>
      <c r="F1187" s="53"/>
      <c r="G1187" s="55">
        <f>G1186-G1188</f>
        <v>11389.500000000002</v>
      </c>
      <c r="H1187" s="55"/>
      <c r="I1187" s="55"/>
    </row>
    <row r="1188" spans="1:9" ht="15.75" x14ac:dyDescent="0.25">
      <c r="A1188" s="50"/>
      <c r="B1188" s="50"/>
      <c r="C1188" s="54" t="s">
        <v>605</v>
      </c>
      <c r="D1188" s="53"/>
      <c r="E1188" s="53"/>
      <c r="F1188" s="53"/>
      <c r="G1188" s="55">
        <f>G205+G449-28.9+G535</f>
        <v>5192.8999999999996</v>
      </c>
      <c r="H1188" s="55"/>
      <c r="I1188" s="55"/>
    </row>
    <row r="1189" spans="1:9" ht="15.75" x14ac:dyDescent="0.25">
      <c r="A1189" s="50"/>
      <c r="B1189" s="50"/>
      <c r="C1189" s="54">
        <v>11</v>
      </c>
      <c r="D1189" s="53"/>
      <c r="E1189" s="53"/>
      <c r="F1189" s="53"/>
      <c r="G1189" s="55">
        <f>G797</f>
        <v>66064.7304</v>
      </c>
      <c r="H1189" s="55"/>
      <c r="I1189" s="55"/>
    </row>
    <row r="1190" spans="1:9" ht="15.75" x14ac:dyDescent="0.25">
      <c r="A1190" s="50"/>
      <c r="B1190" s="50"/>
      <c r="C1190" s="54" t="s">
        <v>604</v>
      </c>
      <c r="D1190" s="53"/>
      <c r="E1190" s="53"/>
      <c r="F1190" s="53"/>
      <c r="G1190" s="55">
        <f>G1189-G1191</f>
        <v>60026.330399999999</v>
      </c>
      <c r="H1190" s="55"/>
      <c r="I1190" s="55"/>
    </row>
    <row r="1191" spans="1:9" ht="15.75" x14ac:dyDescent="0.25">
      <c r="A1191" s="50"/>
      <c r="B1191" s="50"/>
      <c r="C1191" s="54" t="s">
        <v>605</v>
      </c>
      <c r="D1191" s="53"/>
      <c r="E1191" s="53"/>
      <c r="F1191" s="53"/>
      <c r="G1191" s="55">
        <f>G832+G839-39.5604+G849</f>
        <v>6038.4</v>
      </c>
      <c r="H1191" s="55"/>
      <c r="I1191" s="55"/>
    </row>
    <row r="1192" spans="1:9" ht="15.75" x14ac:dyDescent="0.25">
      <c r="A1192" s="50"/>
      <c r="B1192" s="50"/>
      <c r="C1192" s="54">
        <v>12</v>
      </c>
      <c r="D1192" s="53"/>
      <c r="E1192" s="53"/>
      <c r="F1192" s="53"/>
      <c r="G1192" s="55">
        <f>G473</f>
        <v>6661</v>
      </c>
      <c r="H1192" s="55"/>
      <c r="I1192" s="55"/>
    </row>
    <row r="1193" spans="1:9" ht="15.75" x14ac:dyDescent="0.25">
      <c r="A1193" s="50"/>
      <c r="B1193" s="50"/>
      <c r="C1193" s="55"/>
      <c r="D1193" s="53"/>
      <c r="E1193" s="53"/>
      <c r="F1193" s="53"/>
      <c r="G1193" s="104">
        <f>G1169+G1172+G1173+G1174+G1177+G1180+G1183+G1186+G1189+G1192</f>
        <v>764350.74239999987</v>
      </c>
      <c r="H1193" s="104"/>
      <c r="I1193" s="104"/>
    </row>
    <row r="1194" spans="1:9" ht="15.75" x14ac:dyDescent="0.25">
      <c r="A1194" s="50"/>
      <c r="B1194" s="50"/>
      <c r="C1194" s="54" t="s">
        <v>604</v>
      </c>
      <c r="D1194" s="53"/>
      <c r="E1194" s="53"/>
      <c r="F1194" s="53"/>
      <c r="G1194" s="104">
        <f>G1170+G1172+G1173+G1175+G1178+G1181+G1184+G1187+G1190+G1192</f>
        <v>471798.54239999992</v>
      </c>
      <c r="H1194" s="104"/>
      <c r="I1194" s="104"/>
    </row>
    <row r="1195" spans="1:9" ht="15.75" x14ac:dyDescent="0.25">
      <c r="A1195" s="50"/>
      <c r="B1195" s="50"/>
      <c r="C1195" s="54" t="s">
        <v>605</v>
      </c>
      <c r="D1195" s="53"/>
      <c r="E1195" s="53"/>
      <c r="F1195" s="53"/>
      <c r="G1195" s="104">
        <f>G1193-G1194</f>
        <v>292552.19999999995</v>
      </c>
      <c r="H1195" s="104">
        <v>276657.45</v>
      </c>
      <c r="I1195" s="104">
        <f>G1195-H1195</f>
        <v>15894.749999999942</v>
      </c>
    </row>
    <row r="1196" spans="1:9" x14ac:dyDescent="0.25">
      <c r="G1196" s="219"/>
      <c r="H1196" s="219"/>
      <c r="I1196" s="219"/>
    </row>
    <row r="1197" spans="1:9" x14ac:dyDescent="0.25">
      <c r="D1197" s="332" t="s">
        <v>606</v>
      </c>
      <c r="E1197" s="332">
        <v>50</v>
      </c>
      <c r="G1197" s="219">
        <f>G919</f>
        <v>3446</v>
      </c>
      <c r="H1197" s="219"/>
      <c r="I1197" s="219"/>
    </row>
    <row r="1198" spans="1:9" x14ac:dyDescent="0.25">
      <c r="E1198" s="332">
        <v>51</v>
      </c>
      <c r="G1198" s="219">
        <f>G214+G247+G319+G438+G446</f>
        <v>3427.9</v>
      </c>
      <c r="H1198" s="219"/>
      <c r="I1198" s="219"/>
    </row>
    <row r="1199" spans="1:9" x14ac:dyDescent="0.25">
      <c r="E1199" s="332">
        <v>52</v>
      </c>
      <c r="G1199" s="219">
        <f>G554+G625+G719+G753</f>
        <v>342090.08900000004</v>
      </c>
      <c r="H1199" s="219"/>
      <c r="I1199" s="219"/>
    </row>
    <row r="1200" spans="1:9" x14ac:dyDescent="0.25">
      <c r="E1200" s="332">
        <v>53</v>
      </c>
      <c r="G1200" s="219">
        <f>G182</f>
        <v>250</v>
      </c>
      <c r="H1200" s="219"/>
      <c r="I1200" s="219"/>
    </row>
    <row r="1201" spans="1:10" x14ac:dyDescent="0.25">
      <c r="E1201" s="332">
        <v>54</v>
      </c>
      <c r="G1201" s="219">
        <f>G1132+G69</f>
        <v>538</v>
      </c>
      <c r="H1201" s="219"/>
      <c r="I1201" s="219"/>
    </row>
    <row r="1202" spans="1:10" x14ac:dyDescent="0.25">
      <c r="E1202" s="332">
        <v>55</v>
      </c>
      <c r="G1202" s="219">
        <f>G198</f>
        <v>10</v>
      </c>
      <c r="H1202" s="219"/>
      <c r="I1202" s="219"/>
    </row>
    <row r="1203" spans="1:10" x14ac:dyDescent="0.25">
      <c r="E1203" s="332">
        <v>56</v>
      </c>
      <c r="G1203" s="219"/>
      <c r="H1203" s="219"/>
      <c r="I1203" s="219"/>
    </row>
    <row r="1204" spans="1:10" x14ac:dyDescent="0.25">
      <c r="E1204" s="332">
        <v>57</v>
      </c>
      <c r="G1204" s="219">
        <f>G803+G876</f>
        <v>55306.430400000005</v>
      </c>
      <c r="H1204" s="219"/>
      <c r="I1204" s="219"/>
    </row>
    <row r="1205" spans="1:10" x14ac:dyDescent="0.25">
      <c r="E1205" s="332">
        <v>58</v>
      </c>
      <c r="G1205" s="219">
        <f>G276+G341+G371</f>
        <v>70492.823000000004</v>
      </c>
      <c r="H1205" s="219"/>
      <c r="I1205" s="219"/>
    </row>
    <row r="1206" spans="1:10" x14ac:dyDescent="0.25">
      <c r="E1206" s="332">
        <v>59</v>
      </c>
      <c r="G1206" s="219">
        <f>G614+G708+G1106+G405</f>
        <v>307</v>
      </c>
      <c r="H1206" s="219"/>
      <c r="I1206" s="219"/>
    </row>
    <row r="1207" spans="1:10" x14ac:dyDescent="0.25">
      <c r="E1207" s="332">
        <v>60</v>
      </c>
      <c r="G1207" s="219">
        <f>G1031</f>
        <v>3563.2000000000003</v>
      </c>
      <c r="H1207" s="219"/>
      <c r="I1207" s="219"/>
    </row>
    <row r="1208" spans="1:10" x14ac:dyDescent="0.25">
      <c r="E1208" s="332">
        <v>61</v>
      </c>
      <c r="G1208" s="219">
        <f>G162</f>
        <v>306</v>
      </c>
      <c r="H1208" s="219"/>
      <c r="I1208" s="219"/>
    </row>
    <row r="1209" spans="1:10" x14ac:dyDescent="0.25">
      <c r="E1209" s="332">
        <v>62</v>
      </c>
      <c r="G1209" s="219">
        <f>G989</f>
        <v>129</v>
      </c>
      <c r="H1209" s="219"/>
      <c r="I1209" s="219"/>
    </row>
    <row r="1210" spans="1:10" x14ac:dyDescent="0.25">
      <c r="E1210" s="332">
        <v>63</v>
      </c>
      <c r="G1210" s="219">
        <f>G223+G544+G792</f>
        <v>175</v>
      </c>
      <c r="H1210" s="219"/>
      <c r="I1210" s="219"/>
    </row>
    <row r="1211" spans="1:10" x14ac:dyDescent="0.25">
      <c r="E1211" s="332">
        <v>64</v>
      </c>
      <c r="G1211" s="219">
        <f>G115+G313+G410+G619+G713+G747+G850+G240+G491</f>
        <v>3310.3999999999996</v>
      </c>
      <c r="H1211" s="219"/>
      <c r="I1211" s="219"/>
    </row>
    <row r="1212" spans="1:10" x14ac:dyDescent="0.25">
      <c r="E1212" s="332">
        <v>65</v>
      </c>
      <c r="G1212" s="219">
        <f>G1069</f>
        <v>401</v>
      </c>
      <c r="H1212" s="219"/>
      <c r="I1212" s="219"/>
    </row>
    <row r="1213" spans="1:10" x14ac:dyDescent="0.25">
      <c r="E1213" s="332">
        <v>66</v>
      </c>
      <c r="G1213" s="219">
        <f>G520</f>
        <v>239.82</v>
      </c>
      <c r="H1213" s="219"/>
      <c r="I1213" s="219"/>
    </row>
    <row r="1214" spans="1:10" x14ac:dyDescent="0.25">
      <c r="E1214" s="332">
        <v>67</v>
      </c>
      <c r="G1214" s="219">
        <f>G124</f>
        <v>30</v>
      </c>
      <c r="H1214" s="219"/>
      <c r="I1214" s="219"/>
    </row>
    <row r="1215" spans="1:10" x14ac:dyDescent="0.25">
      <c r="E1215" s="332">
        <v>69</v>
      </c>
      <c r="G1215" s="116">
        <f>G129</f>
        <v>80</v>
      </c>
      <c r="H1215" s="116"/>
      <c r="I1215" s="116"/>
    </row>
    <row r="1216" spans="1:10" s="218" customFormat="1" x14ac:dyDescent="0.25">
      <c r="A1216" s="332"/>
      <c r="B1216" s="332"/>
      <c r="C1216" s="332"/>
      <c r="D1216" s="332"/>
      <c r="E1216" s="332">
        <v>70</v>
      </c>
      <c r="F1216" s="332"/>
      <c r="G1216" s="116">
        <f>G1022</f>
        <v>0</v>
      </c>
      <c r="H1216" s="116"/>
      <c r="I1216" s="116"/>
      <c r="J1216" s="332"/>
    </row>
    <row r="1217" spans="7:9" x14ac:dyDescent="0.25">
      <c r="G1217" s="219">
        <f>SUM(G1197:G1216)</f>
        <v>484102.66240000015</v>
      </c>
      <c r="H1217" s="219"/>
      <c r="I1217" s="219"/>
    </row>
  </sheetData>
  <mergeCells count="1">
    <mergeCell ref="A7:I7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  <rowBreaks count="1" manualBreakCount="1">
    <brk id="116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10</vt:i4>
      </vt:variant>
    </vt:vector>
  </HeadingPairs>
  <TitlesOfParts>
    <vt:vector size="26" baseType="lpstr">
      <vt:lpstr>пр.1дох.20</vt:lpstr>
      <vt:lpstr>Пр.1.1. дох.21-22</vt:lpstr>
      <vt:lpstr>пр.2 Рд,пр 20</vt:lpstr>
      <vt:lpstr>пр.3.1. рдпр 21-22</vt:lpstr>
      <vt:lpstr>Пр.3 Рд,пр, ЦС,ВР 20</vt:lpstr>
      <vt:lpstr>пр.4.1.рдпрцс 21-22</vt:lpstr>
      <vt:lpstr>Прил.№5 ведомств.старая</vt:lpstr>
      <vt:lpstr>прил.№6 МП старая</vt:lpstr>
      <vt:lpstr>Пр.4 ведом.20</vt:lpstr>
      <vt:lpstr>пр.5.1.ведом.21-22</vt:lpstr>
      <vt:lpstr>пр.5 МП 20</vt:lpstr>
      <vt:lpstr>пр.6.1.МП 21-22</vt:lpstr>
      <vt:lpstr>пр.6 публ. 20</vt:lpstr>
      <vt:lpstr>пр.8.1.публ.21-22</vt:lpstr>
      <vt:lpstr>пр.7 ист-ки 20</vt:lpstr>
      <vt:lpstr>пр.9.1.ист-ки 21-22 </vt:lpstr>
      <vt:lpstr>'Пр.1.1. дох.21-22'!Область_печати</vt:lpstr>
      <vt:lpstr>пр.1дох.20!Область_печати</vt:lpstr>
      <vt:lpstr>'пр.2 Рд,пр 20'!Область_печати</vt:lpstr>
      <vt:lpstr>'Пр.3 Рд,пр, ЦС,ВР 20'!Область_печати</vt:lpstr>
      <vt:lpstr>'Пр.4 ведом.20'!Область_печати</vt:lpstr>
      <vt:lpstr>'пр.5 МП 20'!Область_печати</vt:lpstr>
      <vt:lpstr>'пр.5.1.ведом.21-22'!Область_печати</vt:lpstr>
      <vt:lpstr>'пр.7 ист-ки 20'!Область_печати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2020-07-14T00:57:40Z</dcterms:modified>
</cp:coreProperties>
</file>